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1\Desktop\Lenka\!! Práce - RAB\ŘRD LIBOCKÁ\"/>
    </mc:Choice>
  </mc:AlternateContent>
  <bookViews>
    <workbookView xWindow="630" yWindow="600" windowWidth="27495" windowHeight="13740"/>
  </bookViews>
  <sheets>
    <sheet name="KRYCÍ LIST" sheetId="10" r:id="rId1"/>
    <sheet name="ZEMINA" sheetId="11" r:id="rId2"/>
    <sheet name="VODOSTAVEBNÝ BETON, ZÁKLADY" sheetId="1" r:id="rId3"/>
    <sheet name="ŽB - ZDI OBVODOVÉ" sheetId="2" r:id="rId4"/>
    <sheet name="ŽB - ZDI VNITŘNÍ" sheetId="3" r:id="rId5"/>
    <sheet name="ŽB STROPY" sheetId="4" r:id="rId6"/>
    <sheet name="PŘÍČKY NENOSNÉ" sheetId="5" r:id="rId7"/>
    <sheet name="PODLAHY" sheetId="6" r:id="rId8"/>
    <sheet name="TEPELNÉ IZOLACE" sheetId="7" r:id="rId9"/>
    <sheet name="POVRCHY INT" sheetId="8" r:id="rId10"/>
    <sheet name="POVRCHY EXT." sheetId="9" r:id="rId11"/>
  </sheets>
  <calcPr calcId="152511"/>
</workbook>
</file>

<file path=xl/calcChain.xml><?xml version="1.0" encoding="utf-8"?>
<calcChain xmlns="http://schemas.openxmlformats.org/spreadsheetml/2006/main">
  <c r="G13" i="11" l="1"/>
  <c r="G33" i="11"/>
  <c r="G34" i="11" s="1"/>
  <c r="G31" i="11"/>
  <c r="G30" i="11"/>
  <c r="G27" i="11"/>
  <c r="G28" i="11" s="1"/>
  <c r="G22" i="11"/>
  <c r="G11" i="11"/>
  <c r="G9" i="11"/>
  <c r="G7" i="11"/>
  <c r="G3" i="11"/>
  <c r="G20" i="11" l="1"/>
  <c r="AK85" i="8"/>
  <c r="AB85" i="8"/>
  <c r="Y85" i="8"/>
  <c r="V85" i="8"/>
  <c r="P85" i="8"/>
  <c r="AK84" i="8"/>
  <c r="Y84" i="8"/>
  <c r="V84" i="8"/>
  <c r="AK83" i="8"/>
  <c r="Y83" i="8"/>
  <c r="AB83" i="8"/>
  <c r="V83" i="8"/>
  <c r="AK82" i="8"/>
  <c r="AK81" i="8"/>
  <c r="AB82" i="8"/>
  <c r="Y82" i="8"/>
  <c r="V82" i="8"/>
  <c r="V81" i="8"/>
  <c r="AK58" i="8"/>
  <c r="AB58" i="8"/>
  <c r="Y58" i="8"/>
  <c r="V58" i="8"/>
  <c r="P58" i="8"/>
  <c r="Y57" i="8"/>
  <c r="V57" i="8"/>
  <c r="AK56" i="8"/>
  <c r="AB56" i="8"/>
  <c r="Y56" i="8"/>
  <c r="V56" i="8"/>
  <c r="Y55" i="8"/>
  <c r="AB55" i="8"/>
  <c r="V55" i="8"/>
  <c r="AK54" i="8"/>
  <c r="V54" i="8"/>
  <c r="Y54" i="8" s="1"/>
  <c r="Y24" i="8"/>
  <c r="AK24" i="8"/>
  <c r="AK30" i="8"/>
  <c r="Y30" i="8"/>
  <c r="AB30" i="8"/>
  <c r="V30" i="8"/>
  <c r="AK29" i="8"/>
  <c r="AB29" i="8"/>
  <c r="Y29" i="8"/>
  <c r="V29" i="8"/>
  <c r="AB26" i="8"/>
  <c r="AB27" i="8"/>
  <c r="AK28" i="8"/>
  <c r="Y28" i="8"/>
  <c r="V28" i="8"/>
  <c r="AK27" i="8"/>
  <c r="Y27" i="8"/>
  <c r="V27" i="8"/>
  <c r="S26" i="8"/>
  <c r="P27" i="8"/>
  <c r="AE26" i="8"/>
  <c r="AB78" i="8"/>
  <c r="AH78" i="8"/>
  <c r="AH77" i="8"/>
  <c r="V75" i="8"/>
  <c r="Y75" i="8" s="1"/>
  <c r="P75" i="8"/>
  <c r="AK46" i="8"/>
  <c r="AB73" i="8"/>
  <c r="AB50" i="8"/>
  <c r="P48" i="8"/>
  <c r="V48" i="8" s="1"/>
  <c r="Y48" i="8" s="1"/>
  <c r="AH47" i="8"/>
  <c r="AB46" i="8"/>
  <c r="AK23" i="8"/>
  <c r="P23" i="8"/>
  <c r="V23" i="8" s="1"/>
  <c r="Y23" i="8" s="1"/>
  <c r="AH22" i="8"/>
  <c r="AH21" i="8"/>
  <c r="AH20" i="8"/>
  <c r="P19" i="8"/>
  <c r="AH17" i="8"/>
  <c r="Y69" i="8"/>
  <c r="V69" i="8"/>
  <c r="Y41" i="8"/>
  <c r="AB41" i="8"/>
  <c r="V41" i="8"/>
  <c r="AB39" i="8"/>
  <c r="AN14" i="8"/>
  <c r="AK14" i="8"/>
  <c r="AB14" i="8"/>
  <c r="P14" i="8"/>
  <c r="V14" i="8" s="1"/>
  <c r="Y14" i="8" s="1"/>
  <c r="AH12" i="8"/>
  <c r="AK12" i="8"/>
  <c r="AB12" i="8"/>
  <c r="V33" i="8"/>
  <c r="AH33" i="8"/>
  <c r="S33" i="8"/>
  <c r="S9" i="8"/>
  <c r="AK8" i="8"/>
  <c r="AK9" i="8"/>
  <c r="V8" i="8"/>
  <c r="S8" i="8"/>
  <c r="AB7" i="8"/>
  <c r="V5" i="8"/>
  <c r="V6" i="8"/>
  <c r="AK5" i="8"/>
  <c r="AJ45" i="7"/>
  <c r="Q8" i="6" l="1"/>
  <c r="D15" i="10" l="1"/>
  <c r="D14" i="10"/>
  <c r="K52" i="5"/>
  <c r="K49" i="5"/>
  <c r="K45" i="5"/>
  <c r="K44" i="5"/>
  <c r="K43" i="5"/>
  <c r="K38" i="5"/>
  <c r="K37" i="5"/>
  <c r="K36" i="5"/>
  <c r="K35" i="5"/>
  <c r="K34" i="5"/>
  <c r="K33" i="5"/>
  <c r="K32" i="5"/>
  <c r="K31" i="5"/>
  <c r="K30" i="5"/>
  <c r="K36" i="1"/>
  <c r="H10" i="1"/>
  <c r="H7" i="1"/>
  <c r="E7" i="1"/>
  <c r="K35" i="1"/>
  <c r="K32" i="1"/>
  <c r="K34" i="1"/>
  <c r="K31" i="1"/>
  <c r="D78" i="10" l="1"/>
  <c r="K59" i="3" l="1"/>
  <c r="K32" i="3"/>
  <c r="K10" i="3"/>
  <c r="K54" i="2"/>
  <c r="K52" i="2"/>
  <c r="K45" i="2"/>
  <c r="K40" i="2"/>
  <c r="K35" i="2"/>
  <c r="K31" i="2"/>
  <c r="K14" i="2"/>
  <c r="G79" i="10"/>
  <c r="G80" i="10" s="1"/>
  <c r="J80" i="10" s="1"/>
  <c r="G78" i="10"/>
  <c r="G77" i="10"/>
  <c r="D83" i="10"/>
  <c r="D77" i="10"/>
  <c r="D79" i="10"/>
  <c r="D58" i="10"/>
  <c r="G49" i="10"/>
  <c r="D49" i="10" s="1"/>
  <c r="G43" i="10"/>
  <c r="AJ44" i="7"/>
  <c r="G41" i="10" s="1"/>
  <c r="AG39" i="7"/>
  <c r="D43" i="10" s="1"/>
  <c r="AG38" i="7"/>
  <c r="AD41" i="7"/>
  <c r="AD42" i="7" s="1"/>
  <c r="AD38" i="7"/>
  <c r="AD39" i="7" s="1"/>
  <c r="AD35" i="7"/>
  <c r="G40" i="10" s="1"/>
  <c r="G36" i="10"/>
  <c r="AA4" i="7"/>
  <c r="AA5" i="7" s="1"/>
  <c r="O19" i="7"/>
  <c r="G34" i="10"/>
  <c r="Z67" i="6"/>
  <c r="G48" i="10" s="1"/>
  <c r="W67" i="6"/>
  <c r="G27" i="10" s="1"/>
  <c r="T22" i="6"/>
  <c r="T67" i="6"/>
  <c r="G26" i="10" s="1"/>
  <c r="Q67" i="6"/>
  <c r="J31" i="9"/>
  <c r="D71" i="10" s="1"/>
  <c r="F7" i="7"/>
  <c r="G37" i="10" s="1"/>
  <c r="M29" i="9"/>
  <c r="M30" i="9" s="1"/>
  <c r="G27" i="9"/>
  <c r="M27" i="9" s="1"/>
  <c r="M31" i="9" s="1"/>
  <c r="D69" i="10" s="1"/>
  <c r="G23" i="9"/>
  <c r="D13" i="9"/>
  <c r="D56" i="10" s="1"/>
  <c r="J16" i="9"/>
  <c r="G15" i="9"/>
  <c r="G31" i="9" s="1"/>
  <c r="D70" i="10" s="1"/>
  <c r="D17" i="9"/>
  <c r="D57" i="10" s="1"/>
  <c r="D8" i="9"/>
  <c r="D55" i="10" s="1"/>
  <c r="AB84" i="8"/>
  <c r="S85" i="8"/>
  <c r="S84" i="8"/>
  <c r="S83" i="8"/>
  <c r="S82" i="8"/>
  <c r="S81" i="8"/>
  <c r="Y81" i="8" s="1"/>
  <c r="P83" i="8"/>
  <c r="P82" i="8"/>
  <c r="P81" i="8"/>
  <c r="AK57" i="8"/>
  <c r="AB57" i="8"/>
  <c r="S58" i="8"/>
  <c r="S57" i="8"/>
  <c r="S56" i="8"/>
  <c r="S55" i="8"/>
  <c r="S54" i="8"/>
  <c r="P56" i="8"/>
  <c r="P55" i="8"/>
  <c r="AK55" i="8" s="1"/>
  <c r="P54" i="8"/>
  <c r="P29" i="8"/>
  <c r="AB28" i="8"/>
  <c r="S30" i="8"/>
  <c r="S29" i="8"/>
  <c r="S28" i="8"/>
  <c r="S27" i="8"/>
  <c r="P30" i="8"/>
  <c r="AE31" i="8"/>
  <c r="V26" i="8"/>
  <c r="Y26" i="8" s="1"/>
  <c r="P26" i="8"/>
  <c r="AK78" i="8"/>
  <c r="AK77" i="8"/>
  <c r="AB77" i="8"/>
  <c r="AB76" i="8"/>
  <c r="AB75" i="8"/>
  <c r="AK76" i="8"/>
  <c r="AK75" i="8"/>
  <c r="AH74" i="8"/>
  <c r="P78" i="8"/>
  <c r="P77" i="8"/>
  <c r="S78" i="8"/>
  <c r="S77" i="8"/>
  <c r="S76" i="8"/>
  <c r="V76" i="8" s="1"/>
  <c r="Y76" i="8" s="1"/>
  <c r="S74" i="8"/>
  <c r="P74" i="8"/>
  <c r="V74" i="8" s="1"/>
  <c r="Y74" i="8" s="1"/>
  <c r="AK73" i="8"/>
  <c r="AK79" i="8" s="1"/>
  <c r="S73" i="8"/>
  <c r="AK51" i="8"/>
  <c r="AB51" i="8"/>
  <c r="AK50" i="8"/>
  <c r="S49" i="8"/>
  <c r="V49" i="8" s="1"/>
  <c r="Y49" i="8" s="1"/>
  <c r="S51" i="8"/>
  <c r="S50" i="8"/>
  <c r="P51" i="8"/>
  <c r="V51" i="8" s="1"/>
  <c r="Y51" i="8" s="1"/>
  <c r="P50" i="8"/>
  <c r="AB49" i="8"/>
  <c r="AK49" i="8"/>
  <c r="AK48" i="8"/>
  <c r="AB48" i="8"/>
  <c r="S47" i="8"/>
  <c r="P47" i="8"/>
  <c r="V47" i="8" s="1"/>
  <c r="Y47" i="8" s="1"/>
  <c r="S46" i="8"/>
  <c r="V46" i="8" s="1"/>
  <c r="Y46" i="8" s="1"/>
  <c r="AK22" i="8"/>
  <c r="P22" i="8"/>
  <c r="AK21" i="8"/>
  <c r="AB21" i="8"/>
  <c r="P21" i="8"/>
  <c r="V21" i="8" s="1"/>
  <c r="Y21" i="8" s="1"/>
  <c r="AK20" i="8"/>
  <c r="AB20" i="8"/>
  <c r="S22" i="8"/>
  <c r="AB22" i="8" s="1"/>
  <c r="S21" i="8"/>
  <c r="S20" i="8"/>
  <c r="P20" i="8"/>
  <c r="V20" i="8" s="1"/>
  <c r="Y20" i="8" s="1"/>
  <c r="AK19" i="8"/>
  <c r="AB19" i="8"/>
  <c r="S19" i="8"/>
  <c r="V19" i="8" s="1"/>
  <c r="Y19" i="8" s="1"/>
  <c r="AK18" i="8"/>
  <c r="AB18" i="8"/>
  <c r="S18" i="8"/>
  <c r="V18" i="8" s="1"/>
  <c r="Y18" i="8" s="1"/>
  <c r="S17" i="8"/>
  <c r="P17" i="8"/>
  <c r="AH15" i="8"/>
  <c r="AH70" i="8"/>
  <c r="AB70" i="8"/>
  <c r="P70" i="8"/>
  <c r="V70" i="8" s="1"/>
  <c r="Y70" i="8" s="1"/>
  <c r="AK69" i="8"/>
  <c r="AH69" i="8" s="1"/>
  <c r="AB69" i="8"/>
  <c r="AH68" i="8"/>
  <c r="S68" i="8"/>
  <c r="P68" i="8"/>
  <c r="V68" i="8" s="1"/>
  <c r="Y68" i="8" s="1"/>
  <c r="AK67" i="8"/>
  <c r="AB67" i="8"/>
  <c r="S67" i="8"/>
  <c r="V67" i="8" s="1"/>
  <c r="Y67" i="8" s="1"/>
  <c r="AH66" i="8"/>
  <c r="S66" i="8"/>
  <c r="P66" i="8"/>
  <c r="AH43" i="8"/>
  <c r="AB43" i="8"/>
  <c r="AH42" i="8"/>
  <c r="AB42" i="8"/>
  <c r="P43" i="8"/>
  <c r="V43" i="8" s="1"/>
  <c r="Y43" i="8" s="1"/>
  <c r="P42" i="8"/>
  <c r="V42" i="8" s="1"/>
  <c r="Y42" i="8" s="1"/>
  <c r="AK41" i="8"/>
  <c r="AH41" i="8" s="1"/>
  <c r="AH40" i="8"/>
  <c r="S40" i="8"/>
  <c r="P40" i="8"/>
  <c r="V40" i="8" s="1"/>
  <c r="Y40" i="8" s="1"/>
  <c r="AK39" i="8"/>
  <c r="AK44" i="8" s="1"/>
  <c r="S39" i="8"/>
  <c r="V39" i="8" s="1"/>
  <c r="Y39" i="8" s="1"/>
  <c r="AH38" i="8"/>
  <c r="S38" i="8"/>
  <c r="AN15" i="8"/>
  <c r="AN88" i="8" s="1"/>
  <c r="AB13" i="8"/>
  <c r="AB15" i="8" s="1"/>
  <c r="AK13" i="8"/>
  <c r="AK15" i="8" s="1"/>
  <c r="AE10" i="8"/>
  <c r="AE6" i="8"/>
  <c r="S12" i="8"/>
  <c r="P12" i="8"/>
  <c r="AE12" i="8" s="1"/>
  <c r="AK63" i="8"/>
  <c r="AK64" i="8" s="1"/>
  <c r="AK62" i="8"/>
  <c r="S63" i="8"/>
  <c r="V63" i="8" s="1"/>
  <c r="Y63" i="8" s="1"/>
  <c r="S62" i="8"/>
  <c r="AH61" i="8"/>
  <c r="AH64" i="8" s="1"/>
  <c r="S61" i="8"/>
  <c r="S35" i="8"/>
  <c r="V35" i="8" s="1"/>
  <c r="Y35" i="8" s="1"/>
  <c r="AK35" i="8"/>
  <c r="AK34" i="8"/>
  <c r="S34" i="8"/>
  <c r="AH36" i="8"/>
  <c r="Y33" i="8"/>
  <c r="P9" i="8"/>
  <c r="V9" i="8" s="1"/>
  <c r="Y9" i="8" s="1"/>
  <c r="S6" i="8"/>
  <c r="AH6" i="8"/>
  <c r="AH10" i="8" s="1"/>
  <c r="Y6" i="8"/>
  <c r="AB79" i="8" l="1"/>
  <c r="V34" i="8"/>
  <c r="Y34" i="8" s="1"/>
  <c r="Y36" i="8" s="1"/>
  <c r="V66" i="8"/>
  <c r="Y66" i="8" s="1"/>
  <c r="V22" i="8"/>
  <c r="Y22" i="8" s="1"/>
  <c r="V77" i="8"/>
  <c r="Y77" i="8" s="1"/>
  <c r="V50" i="8"/>
  <c r="Y50" i="8" s="1"/>
  <c r="V73" i="8"/>
  <c r="Y73" i="8" s="1"/>
  <c r="Y79" i="8" s="1"/>
  <c r="V78" i="8"/>
  <c r="Y78" i="8" s="1"/>
  <c r="AK26" i="8"/>
  <c r="AK31" i="8" s="1"/>
  <c r="Y59" i="8"/>
  <c r="AK86" i="8"/>
  <c r="Y62" i="8"/>
  <c r="V62" i="8"/>
  <c r="V17" i="8"/>
  <c r="AE17" i="8"/>
  <c r="AE24" i="8" s="1"/>
  <c r="V12" i="8"/>
  <c r="Y12" i="8" s="1"/>
  <c r="S13" i="8"/>
  <c r="V38" i="8"/>
  <c r="Y38" i="8" s="1"/>
  <c r="Y44" i="8" s="1"/>
  <c r="Y61" i="8"/>
  <c r="Y64" i="8" s="1"/>
  <c r="V61" i="8"/>
  <c r="AB52" i="8"/>
  <c r="AH24" i="8"/>
  <c r="AB71" i="8"/>
  <c r="AH44" i="8"/>
  <c r="AK36" i="8"/>
  <c r="AK71" i="8"/>
  <c r="AK52" i="8"/>
  <c r="AB31" i="8"/>
  <c r="AB44" i="8"/>
  <c r="Y71" i="8"/>
  <c r="AB59" i="8"/>
  <c r="AB86" i="8"/>
  <c r="AB24" i="8"/>
  <c r="AH71" i="8"/>
  <c r="AK59" i="8"/>
  <c r="AE15" i="8"/>
  <c r="AE88" i="8" s="1"/>
  <c r="AH73" i="8"/>
  <c r="AH79" i="8" s="1"/>
  <c r="AD36" i="7"/>
  <c r="D40" i="10" s="1"/>
  <c r="D41" i="10"/>
  <c r="AA7" i="7"/>
  <c r="AA8" i="7" s="1"/>
  <c r="AH52" i="8"/>
  <c r="Y31" i="8"/>
  <c r="AB10" i="8"/>
  <c r="Y8" i="8"/>
  <c r="S5" i="8"/>
  <c r="S7" i="8"/>
  <c r="V7" i="8" s="1"/>
  <c r="Y7" i="8" s="1"/>
  <c r="AK7" i="8"/>
  <c r="Y5" i="8"/>
  <c r="AA32" i="7"/>
  <c r="D42" i="10" s="1"/>
  <c r="AA31" i="7"/>
  <c r="X29" i="7"/>
  <c r="D29" i="10" s="1"/>
  <c r="X28" i="7"/>
  <c r="G29" i="10" s="1"/>
  <c r="U26" i="7"/>
  <c r="U25" i="7"/>
  <c r="U23" i="7"/>
  <c r="U22" i="7"/>
  <c r="G31" i="10" s="1"/>
  <c r="R19" i="7"/>
  <c r="L16" i="7"/>
  <c r="O20" i="7"/>
  <c r="D34" i="10" s="1"/>
  <c r="I10" i="7"/>
  <c r="G39" i="10" s="1"/>
  <c r="I13" i="7"/>
  <c r="I14" i="7" s="1"/>
  <c r="F8" i="7"/>
  <c r="D37" i="10" s="1"/>
  <c r="C5" i="7"/>
  <c r="D36" i="10" s="1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49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28" i="6"/>
  <c r="W10" i="6"/>
  <c r="W11" i="6"/>
  <c r="W12" i="6"/>
  <c r="W13" i="6"/>
  <c r="W14" i="6"/>
  <c r="W15" i="6"/>
  <c r="W16" i="6"/>
  <c r="W17" i="6"/>
  <c r="W18" i="6"/>
  <c r="W19" i="6"/>
  <c r="W20" i="6"/>
  <c r="W21" i="6"/>
  <c r="W23" i="6"/>
  <c r="W9" i="6"/>
  <c r="T65" i="6"/>
  <c r="D26" i="10" s="1"/>
  <c r="Q48" i="6"/>
  <c r="Q47" i="6"/>
  <c r="Q46" i="6"/>
  <c r="Q26" i="6"/>
  <c r="Q27" i="6"/>
  <c r="Q25" i="6"/>
  <c r="Q5" i="6"/>
  <c r="Q6" i="6"/>
  <c r="Q7" i="6"/>
  <c r="Q4" i="6"/>
  <c r="N63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4" i="6"/>
  <c r="N17" i="6"/>
  <c r="N5" i="6"/>
  <c r="N6" i="6"/>
  <c r="N7" i="6"/>
  <c r="N8" i="6"/>
  <c r="N9" i="6"/>
  <c r="N10" i="6"/>
  <c r="N11" i="6"/>
  <c r="N12" i="6"/>
  <c r="N13" i="6"/>
  <c r="N14" i="6"/>
  <c r="N15" i="6"/>
  <c r="N16" i="6"/>
  <c r="N18" i="6"/>
  <c r="N19" i="6"/>
  <c r="N20" i="6"/>
  <c r="N21" i="6"/>
  <c r="N23" i="6"/>
  <c r="N4" i="6"/>
  <c r="K42" i="5"/>
  <c r="K41" i="5"/>
  <c r="K40" i="5"/>
  <c r="K39" i="5"/>
  <c r="K29" i="5"/>
  <c r="K28" i="5"/>
  <c r="K27" i="5"/>
  <c r="K26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5" i="5"/>
  <c r="K4" i="5"/>
  <c r="K21" i="4"/>
  <c r="E21" i="4"/>
  <c r="D8" i="10" s="1"/>
  <c r="K27" i="1"/>
  <c r="D7" i="10" s="1"/>
  <c r="K49" i="3"/>
  <c r="K48" i="3"/>
  <c r="K47" i="3"/>
  <c r="K42" i="3"/>
  <c r="K45" i="3" s="1"/>
  <c r="K38" i="3"/>
  <c r="K39" i="3" s="1"/>
  <c r="K14" i="3"/>
  <c r="K13" i="3"/>
  <c r="K12" i="3"/>
  <c r="K22" i="1"/>
  <c r="H9" i="1"/>
  <c r="D6" i="10" s="1"/>
  <c r="E9" i="1"/>
  <c r="Y86" i="8" l="1"/>
  <c r="Y13" i="8"/>
  <c r="V13" i="8"/>
  <c r="Y17" i="8"/>
  <c r="Y52" i="8"/>
  <c r="AB88" i="8"/>
  <c r="D63" i="10" s="1"/>
  <c r="AH88" i="8"/>
  <c r="D62" i="10" s="1"/>
  <c r="W65" i="6"/>
  <c r="D27" i="10" s="1"/>
  <c r="Q65" i="6"/>
  <c r="D25" i="10" s="1"/>
  <c r="Z65" i="6"/>
  <c r="D48" i="10" s="1"/>
  <c r="N65" i="6"/>
  <c r="D20" i="10" s="1"/>
  <c r="K6" i="5"/>
  <c r="K46" i="5"/>
  <c r="K24" i="5"/>
  <c r="I11" i="7"/>
  <c r="D39" i="10" s="1"/>
  <c r="Y15" i="8"/>
  <c r="K50" i="3"/>
  <c r="L17" i="7"/>
  <c r="D33" i="10" s="1"/>
  <c r="G33" i="10"/>
  <c r="G42" i="10"/>
  <c r="R20" i="7"/>
  <c r="D30" i="10" s="1"/>
  <c r="G30" i="10"/>
  <c r="K15" i="3"/>
  <c r="D31" i="10"/>
  <c r="AK10" i="8"/>
  <c r="AK88" i="8" s="1"/>
  <c r="D64" i="10" s="1"/>
  <c r="Y10" i="8"/>
  <c r="Y88" i="8" l="1"/>
  <c r="D61" i="10" s="1"/>
  <c r="K61" i="3"/>
  <c r="D9" i="10" s="1"/>
</calcChain>
</file>

<file path=xl/sharedStrings.xml><?xml version="1.0" encoding="utf-8"?>
<sst xmlns="http://schemas.openxmlformats.org/spreadsheetml/2006/main" count="2663" uniqueCount="403">
  <si>
    <t>ID</t>
  </si>
  <si>
    <t>D1 ZÁKLADOVÁ</t>
  </si>
  <si>
    <t>1.PP</t>
  </si>
  <si>
    <t>D2 ZÁKLADOVÁ</t>
  </si>
  <si>
    <t>1.NP</t>
  </si>
  <si>
    <t>2.NP</t>
  </si>
  <si>
    <t>PODLAŽÍ</t>
  </si>
  <si>
    <t>PLOCHA</t>
  </si>
  <si>
    <t>OBJEM</t>
  </si>
  <si>
    <t>Vodostavebný beton</t>
  </si>
  <si>
    <t>NÁBĚHY</t>
  </si>
  <si>
    <t>TLOUŠŤKA</t>
  </si>
  <si>
    <t>mm</t>
  </si>
  <si>
    <t>m</t>
  </si>
  <si>
    <t>Tloušťka</t>
  </si>
  <si>
    <t>W01 1P</t>
  </si>
  <si>
    <t>2 675</t>
  </si>
  <si>
    <t>2 855</t>
  </si>
  <si>
    <t>W10 1P vodotěsn</t>
  </si>
  <si>
    <t>1 000</t>
  </si>
  <si>
    <t>DESKY</t>
  </si>
  <si>
    <t>STĚNY</t>
  </si>
  <si>
    <t>VÝŠKA</t>
  </si>
  <si>
    <t>W02 1P</t>
  </si>
  <si>
    <t>2 655</t>
  </si>
  <si>
    <t>2 840</t>
  </si>
  <si>
    <t>3 655</t>
  </si>
  <si>
    <t>W03 1P</t>
  </si>
  <si>
    <t>W04 1N</t>
  </si>
  <si>
    <t>2 720</t>
  </si>
  <si>
    <t>W04 2N</t>
  </si>
  <si>
    <t>1 395</t>
  </si>
  <si>
    <t>W04 3N</t>
  </si>
  <si>
    <t>4 020</t>
  </si>
  <si>
    <t>W05 2N</t>
  </si>
  <si>
    <t>1 200</t>
  </si>
  <si>
    <t>W06 1N</t>
  </si>
  <si>
    <t>3 120</t>
  </si>
  <si>
    <t>W06 2N</t>
  </si>
  <si>
    <t>W07 1N</t>
  </si>
  <si>
    <t>W07 2N</t>
  </si>
  <si>
    <t>W07 3N</t>
  </si>
  <si>
    <t>4 880</t>
  </si>
  <si>
    <t>W22 1N</t>
  </si>
  <si>
    <t>2 320</t>
  </si>
  <si>
    <t>3 520</t>
  </si>
  <si>
    <t>W22 2N</t>
  </si>
  <si>
    <t/>
  </si>
  <si>
    <t>3.NP</t>
  </si>
  <si>
    <t xml:space="preserve">W02 1P </t>
  </si>
  <si>
    <t xml:space="preserve">W06 3N </t>
  </si>
  <si>
    <t>Zdi obvodové - železobeton</t>
  </si>
  <si>
    <t>W22 3N</t>
  </si>
  <si>
    <t>W08 1N</t>
  </si>
  <si>
    <t>W08 1P</t>
  </si>
  <si>
    <t>W08 2N</t>
  </si>
  <si>
    <t>W08 3N</t>
  </si>
  <si>
    <t>W09 1N</t>
  </si>
  <si>
    <t>W09 2N</t>
  </si>
  <si>
    <t>W09 3N</t>
  </si>
  <si>
    <t>W10 1P</t>
  </si>
  <si>
    <t>3 035</t>
  </si>
  <si>
    <t>W11 3N</t>
  </si>
  <si>
    <t>2 800</t>
  </si>
  <si>
    <t>W12 1N</t>
  </si>
  <si>
    <t>2 900</t>
  </si>
  <si>
    <t>W12 2N</t>
  </si>
  <si>
    <t>W12 3N</t>
  </si>
  <si>
    <t>W13 1N</t>
  </si>
  <si>
    <t>W13 1N věnec</t>
  </si>
  <si>
    <t>W13 2N</t>
  </si>
  <si>
    <t>W13 2N věnec</t>
  </si>
  <si>
    <t>W13 3N</t>
  </si>
  <si>
    <t>W14 1N</t>
  </si>
  <si>
    <t>W14 2N</t>
  </si>
  <si>
    <t>W14 3N</t>
  </si>
  <si>
    <t>W16 3N</t>
  </si>
  <si>
    <t>Zdi vnitřní - železobeton</t>
  </si>
  <si>
    <t>W11 1N</t>
  </si>
  <si>
    <t>W11  1N</t>
  </si>
  <si>
    <t>W11 2N</t>
  </si>
  <si>
    <t>W11  2N</t>
  </si>
  <si>
    <t>W16 1N</t>
  </si>
  <si>
    <t>W16 2N</t>
  </si>
  <si>
    <t>PASY - PROSTÝ BETON</t>
  </si>
  <si>
    <r>
      <t>m</t>
    </r>
    <r>
      <rPr>
        <vertAlign val="superscript"/>
        <sz val="10"/>
        <rFont val="Century Gothic"/>
        <family val="2"/>
        <charset val="238"/>
      </rPr>
      <t>2</t>
    </r>
  </si>
  <si>
    <r>
      <t>m</t>
    </r>
    <r>
      <rPr>
        <vertAlign val="superscript"/>
        <sz val="10"/>
        <rFont val="Century Gothic"/>
        <family val="2"/>
        <charset val="238"/>
      </rPr>
      <t>3</t>
    </r>
  </si>
  <si>
    <r>
      <t>m</t>
    </r>
    <r>
      <rPr>
        <b/>
        <vertAlign val="superscript"/>
        <sz val="10"/>
        <rFont val="Century Gothic"/>
        <family val="2"/>
        <charset val="238"/>
      </rPr>
      <t>3</t>
    </r>
  </si>
  <si>
    <t>ŽB STROPNÍ DESKY</t>
  </si>
  <si>
    <t>F05 - 1NP STROP</t>
  </si>
  <si>
    <t>F06 - 1NP STROP</t>
  </si>
  <si>
    <t>F06 - 1NP STROP mezip</t>
  </si>
  <si>
    <t>F03 - 1P STROP PART</t>
  </si>
  <si>
    <t>F04 - 1PP STROP PART</t>
  </si>
  <si>
    <t>F02 - 1PP STROP</t>
  </si>
  <si>
    <t>F06 - 2NP STROP</t>
  </si>
  <si>
    <t>PODESTA 02 1N</t>
  </si>
  <si>
    <t>PODESTA 02 2N</t>
  </si>
  <si>
    <t>PODESTA 03 1N</t>
  </si>
  <si>
    <t>PODESTA 03 2N</t>
  </si>
  <si>
    <r>
      <t>m</t>
    </r>
    <r>
      <rPr>
        <b/>
        <vertAlign val="superscript"/>
        <sz val="10"/>
        <rFont val="Century Gothic"/>
        <family val="2"/>
        <charset val="238"/>
      </rPr>
      <t>2</t>
    </r>
  </si>
  <si>
    <t>W15 2N</t>
  </si>
  <si>
    <t>W17 1N</t>
  </si>
  <si>
    <t>W17 2N</t>
  </si>
  <si>
    <t>W17 3N</t>
  </si>
  <si>
    <t>2 700</t>
  </si>
  <si>
    <t>W18 1N</t>
  </si>
  <si>
    <t>W18 1P</t>
  </si>
  <si>
    <t>W18 2N</t>
  </si>
  <si>
    <t>W18 3N</t>
  </si>
  <si>
    <t>ZDĚNÉ PŘÍČKY</t>
  </si>
  <si>
    <t>P01.01</t>
  </si>
  <si>
    <t>P01.02</t>
  </si>
  <si>
    <t>P01.03</t>
  </si>
  <si>
    <t>P01.04</t>
  </si>
  <si>
    <t>P01.05</t>
  </si>
  <si>
    <t>P01.11</t>
  </si>
  <si>
    <t>P01.11 mezip</t>
  </si>
  <si>
    <t>P01.12</t>
  </si>
  <si>
    <t>P01.13</t>
  </si>
  <si>
    <t>P01.21</t>
  </si>
  <si>
    <t>P01.22</t>
  </si>
  <si>
    <t>P01.23</t>
  </si>
  <si>
    <t>P01.24</t>
  </si>
  <si>
    <t>P01.25</t>
  </si>
  <si>
    <t>P01.26</t>
  </si>
  <si>
    <t>P01.31</t>
  </si>
  <si>
    <t>P01.32</t>
  </si>
  <si>
    <t>P01.34</t>
  </si>
  <si>
    <t>P01.35</t>
  </si>
  <si>
    <t>P02.01</t>
  </si>
  <si>
    <t>P02.02</t>
  </si>
  <si>
    <t>P02.03</t>
  </si>
  <si>
    <t>P02.11</t>
  </si>
  <si>
    <t>P02.12</t>
  </si>
  <si>
    <t>P02.13</t>
  </si>
  <si>
    <t>P02.14</t>
  </si>
  <si>
    <t>P02.15</t>
  </si>
  <si>
    <t>P02.16</t>
  </si>
  <si>
    <t>P02.21</t>
  </si>
  <si>
    <t>P02.22</t>
  </si>
  <si>
    <t>P02.23</t>
  </si>
  <si>
    <t>P02.24</t>
  </si>
  <si>
    <t>P02.25</t>
  </si>
  <si>
    <t>P02.26</t>
  </si>
  <si>
    <t>P02.31</t>
  </si>
  <si>
    <t>P02.32</t>
  </si>
  <si>
    <t>P02.33</t>
  </si>
  <si>
    <t>P02.34</t>
  </si>
  <si>
    <t>P02.35</t>
  </si>
  <si>
    <t>P03.01</t>
  </si>
  <si>
    <t>P03.02</t>
  </si>
  <si>
    <t>P03.03</t>
  </si>
  <si>
    <t>P03.11</t>
  </si>
  <si>
    <t>P03.12</t>
  </si>
  <si>
    <t>P03.13</t>
  </si>
  <si>
    <t>P03.14</t>
  </si>
  <si>
    <t>P03.15</t>
  </si>
  <si>
    <t>P03.21</t>
  </si>
  <si>
    <t>P03.22</t>
  </si>
  <si>
    <t>P03.23</t>
  </si>
  <si>
    <t>P03.24</t>
  </si>
  <si>
    <t>P03.25</t>
  </si>
  <si>
    <t>P03.26</t>
  </si>
  <si>
    <t>P03.31</t>
  </si>
  <si>
    <t>P03.32</t>
  </si>
  <si>
    <t>P03.33</t>
  </si>
  <si>
    <t>P03.34</t>
  </si>
  <si>
    <t>P03.35</t>
  </si>
  <si>
    <t xml:space="preserve"> PODLAHY</t>
  </si>
  <si>
    <t>VLÁKNOBETON 
TL. 60 MM</t>
  </si>
  <si>
    <t>EPS 100 S
TL. 180 MM</t>
  </si>
  <si>
    <t>EPS 100 S
TL. 100 MM</t>
  </si>
  <si>
    <t>EPS 100 S
TL. 30 MM</t>
  </si>
  <si>
    <t>KROČEJOVÁ IZOLACE
MV TL. 15 MM</t>
  </si>
  <si>
    <r>
      <t>m</t>
    </r>
    <r>
      <rPr>
        <b/>
        <vertAlign val="superscript"/>
        <sz val="10"/>
        <color theme="1"/>
        <rFont val="Century Gothic"/>
        <family val="2"/>
        <charset val="238"/>
      </rPr>
      <t>3</t>
    </r>
  </si>
  <si>
    <t>TEPELNÉ IZOLACE</t>
  </si>
  <si>
    <t xml:space="preserve">R01 </t>
  </si>
  <si>
    <t>PIR 160 MM</t>
  </si>
  <si>
    <t>OZNAČENÍ</t>
  </si>
  <si>
    <t xml:space="preserve">R02 </t>
  </si>
  <si>
    <t>PIR 180 MM</t>
  </si>
  <si>
    <t>MINERÁLNÍ VATA
TL. 200 MM</t>
  </si>
  <si>
    <t>F03</t>
  </si>
  <si>
    <t>F04</t>
  </si>
  <si>
    <t>XPS 
TL. 190 MM</t>
  </si>
  <si>
    <t>W01</t>
  </si>
  <si>
    <t>XPS 
TL. 200 MM</t>
  </si>
  <si>
    <t>EPS GREY 
TL. 200 MM</t>
  </si>
  <si>
    <t>EPS GREY 
TL. 240 MM</t>
  </si>
  <si>
    <t>W05</t>
  </si>
  <si>
    <t>EPS GREY 
TL. 190 MM</t>
  </si>
  <si>
    <t>W02, W03</t>
  </si>
  <si>
    <t>W04, W06, W07</t>
  </si>
  <si>
    <t>MINERÁL. VATA
TL. 80 MM</t>
  </si>
  <si>
    <t>F02 V PODHLEDU</t>
  </si>
  <si>
    <t>POVRCHY</t>
  </si>
  <si>
    <t>SO01.01</t>
  </si>
  <si>
    <t>VSTUP</t>
  </si>
  <si>
    <t>2 300</t>
  </si>
  <si>
    <t>SO01.02</t>
  </si>
  <si>
    <t>SCHODIŠTĚ</t>
  </si>
  <si>
    <t>2 600</t>
  </si>
  <si>
    <t>SO01.03</t>
  </si>
  <si>
    <t>PRÁDELNA</t>
  </si>
  <si>
    <t>SO01.04</t>
  </si>
  <si>
    <t>TECHNICKÁ MÍSTNOST</t>
  </si>
  <si>
    <t>SO01.05</t>
  </si>
  <si>
    <t>HOBBY MÍSTNOST</t>
  </si>
  <si>
    <t>KOUPELNA</t>
  </si>
  <si>
    <t>SO01.11</t>
  </si>
  <si>
    <t>HALA</t>
  </si>
  <si>
    <t>3 000</t>
  </si>
  <si>
    <t>SO01.12</t>
  </si>
  <si>
    <t>WC</t>
  </si>
  <si>
    <t>2 400</t>
  </si>
  <si>
    <t>SO01.13</t>
  </si>
  <si>
    <t>OBYTNÝ PROSTOR</t>
  </si>
  <si>
    <t>SO01.21</t>
  </si>
  <si>
    <t>CHODBA</t>
  </si>
  <si>
    <t>SO01.22</t>
  </si>
  <si>
    <t>SO01.23</t>
  </si>
  <si>
    <t>SO01.24</t>
  </si>
  <si>
    <t>DĚTSKÝ POKOJ</t>
  </si>
  <si>
    <t>SO01.25</t>
  </si>
  <si>
    <t>SO01.26</t>
  </si>
  <si>
    <t>POKOJ</t>
  </si>
  <si>
    <t>SO01.31</t>
  </si>
  <si>
    <t>SO01.32</t>
  </si>
  <si>
    <t>SO01.33</t>
  </si>
  <si>
    <t>SO01.34</t>
  </si>
  <si>
    <t>ŠATNA</t>
  </si>
  <si>
    <t>SO01.35</t>
  </si>
  <si>
    <t>PŮDA</t>
  </si>
  <si>
    <t>POKOJ/PRACOVNA</t>
  </si>
  <si>
    <t>SO02.01</t>
  </si>
  <si>
    <t>SO02.02</t>
  </si>
  <si>
    <t>SO02.03</t>
  </si>
  <si>
    <t>SKLAD/PRÁDELNA</t>
  </si>
  <si>
    <t>SO02.11</t>
  </si>
  <si>
    <t>SCHODY</t>
  </si>
  <si>
    <t>SO02.12</t>
  </si>
  <si>
    <t>SO02.13</t>
  </si>
  <si>
    <t>JÍDELNA</t>
  </si>
  <si>
    <t>SO02.14</t>
  </si>
  <si>
    <t>KUCHYNĚ</t>
  </si>
  <si>
    <t>SO02.15</t>
  </si>
  <si>
    <t>OBÝVACÍ POKOJ</t>
  </si>
  <si>
    <t>SO02.16</t>
  </si>
  <si>
    <t>HERNA</t>
  </si>
  <si>
    <t>SO02.21</t>
  </si>
  <si>
    <t>SO02.22</t>
  </si>
  <si>
    <t>SO02.23</t>
  </si>
  <si>
    <t>SO02.24</t>
  </si>
  <si>
    <t>PRÁDLO</t>
  </si>
  <si>
    <t>SO02.25</t>
  </si>
  <si>
    <t>SO02.26</t>
  </si>
  <si>
    <t>SO02.31</t>
  </si>
  <si>
    <t>SO02.32</t>
  </si>
  <si>
    <t>PRACOVNA</t>
  </si>
  <si>
    <t>SO02.33</t>
  </si>
  <si>
    <t>LOŽNICE</t>
  </si>
  <si>
    <t>SO02.34</t>
  </si>
  <si>
    <t>SO02.35</t>
  </si>
  <si>
    <t>SO03.01</t>
  </si>
  <si>
    <t>SO03.02</t>
  </si>
  <si>
    <t>SO03.03</t>
  </si>
  <si>
    <t>SO03.11</t>
  </si>
  <si>
    <t>SO03.12</t>
  </si>
  <si>
    <t>SO03.13</t>
  </si>
  <si>
    <t>SO03.14</t>
  </si>
  <si>
    <t>SO03.15</t>
  </si>
  <si>
    <t>SO03.21</t>
  </si>
  <si>
    <t>SO03.22</t>
  </si>
  <si>
    <t>SO03.23</t>
  </si>
  <si>
    <t>SO03.24</t>
  </si>
  <si>
    <t>SO03.25</t>
  </si>
  <si>
    <t>SO03.26</t>
  </si>
  <si>
    <t>SO03.31</t>
  </si>
  <si>
    <t>SO03.32</t>
  </si>
  <si>
    <t>SO03.33</t>
  </si>
  <si>
    <t>SO03.34</t>
  </si>
  <si>
    <t>SO03.35</t>
  </si>
  <si>
    <t>ČÍSLO</t>
  </si>
  <si>
    <t>JMÉNO</t>
  </si>
  <si>
    <t>OBVOD</t>
  </si>
  <si>
    <t>OKNA</t>
  </si>
  <si>
    <t>DVEŘE</t>
  </si>
  <si>
    <t>-</t>
  </si>
  <si>
    <t>OMÍTKA</t>
  </si>
  <si>
    <t>POVRCH STĚN</t>
  </si>
  <si>
    <t>MALBA</t>
  </si>
  <si>
    <t>POVRCH STROPŮ</t>
  </si>
  <si>
    <t>POHLED.
BET.</t>
  </si>
  <si>
    <t>POVRCHY - EXTERIÉR</t>
  </si>
  <si>
    <t xml:space="preserve">W02 </t>
  </si>
  <si>
    <t>CEMENTOVÁ STĚRKA</t>
  </si>
  <si>
    <t>W04</t>
  </si>
  <si>
    <t xml:space="preserve">W03 </t>
  </si>
  <si>
    <t>FASÁDNÍ OMÍTKA</t>
  </si>
  <si>
    <t>W06</t>
  </si>
  <si>
    <t>HLINÍKOVÁ KRYTINA</t>
  </si>
  <si>
    <t>W07</t>
  </si>
  <si>
    <t xml:space="preserve">PODKLAD
(OSB TL. 25 MM) </t>
  </si>
  <si>
    <t xml:space="preserve">PODKLAD
(CETRIS TL. 24 MM) </t>
  </si>
  <si>
    <t>STROP PARTER</t>
  </si>
  <si>
    <t>STŘEŠNÍ PLÁŠŤ</t>
  </si>
  <si>
    <t>R01</t>
  </si>
  <si>
    <t>ZÁKLOP
OSB TL. 22 MM</t>
  </si>
  <si>
    <t>R02</t>
  </si>
  <si>
    <t>PU NÁTĚR</t>
  </si>
  <si>
    <t>3 ŘRD LIBOCKÁ - VÝKAZ VÝMĚR</t>
  </si>
  <si>
    <t>BETONOVÉ KONSTRUKCE</t>
  </si>
  <si>
    <t>1)</t>
  </si>
  <si>
    <t>VODOSTAVEBNÝ BETON</t>
  </si>
  <si>
    <t>BETON PROSTÝ</t>
  </si>
  <si>
    <t>ŽELEZOBETON - STROPY</t>
  </si>
  <si>
    <t>ŽELEZOBETON STĚNY</t>
  </si>
  <si>
    <t>2)</t>
  </si>
  <si>
    <t>ZDĚNÉ KONSTRUKCE</t>
  </si>
  <si>
    <t>KERAMICKÉ BLOKY TL. 80 MM</t>
  </si>
  <si>
    <t>KERAMICKÉ BLOKY TL. 115 MM</t>
  </si>
  <si>
    <t>3)</t>
  </si>
  <si>
    <t>PODLAHY</t>
  </si>
  <si>
    <t>VLÁKNOBETON TL. 60 MM</t>
  </si>
  <si>
    <t>4)</t>
  </si>
  <si>
    <t>EPS 100 S TL. 180 MM
(PODLAHA NA ZEMINĚ)</t>
  </si>
  <si>
    <t>EPS 100 S TL. 100 MM
(PODLAHA PŮDA)</t>
  </si>
  <si>
    <t>EPS 100 S TL. 30 MM</t>
  </si>
  <si>
    <t>5)</t>
  </si>
  <si>
    <t>AKUSTICKÉ IZOLACE</t>
  </si>
  <si>
    <t>MINERÁLNÍ PLSŤ TL. 15 MM
(KROČEJOVÁ IZOLACE)</t>
  </si>
  <si>
    <t>EPS GREY TL. 190 MM</t>
  </si>
  <si>
    <t>EPS GREY TL. 200 MM</t>
  </si>
  <si>
    <t>EPS GREY TL. 240 MM</t>
  </si>
  <si>
    <t>XPS TL. 190 MM</t>
  </si>
  <si>
    <t>PIR TL. 160 MM</t>
  </si>
  <si>
    <t>PIR TL. 180 MM</t>
  </si>
  <si>
    <t>MINERÁLNÍ VATA TL. 200 MM</t>
  </si>
  <si>
    <t>MINERÁLNÍ VATA TL. 80 MM</t>
  </si>
  <si>
    <t>MINERÁLNÍ VATA TL. 120 MM</t>
  </si>
  <si>
    <t>W20</t>
  </si>
  <si>
    <t>MINERÁL. VATA
TL. 120 MM</t>
  </si>
  <si>
    <t>W21</t>
  </si>
  <si>
    <t>W19</t>
  </si>
  <si>
    <t>MINERÁL. VATA
TL. 60 MM</t>
  </si>
  <si>
    <t>W24</t>
  </si>
  <si>
    <t>MINERÁLNÍ VATA TL. 100 MM</t>
  </si>
  <si>
    <t>XPS TL. 200 MM</t>
  </si>
  <si>
    <t>MINERÁLNÍ VATA TL. 60 MM</t>
  </si>
  <si>
    <t>MINERÁLNÍ VATA TL. 40 MM
(PŘEDSTĚNY MEZIDOMOVNÍ)</t>
  </si>
  <si>
    <t>6)</t>
  </si>
  <si>
    <t>POVRCHOVÉ ÚPRAVY</t>
  </si>
  <si>
    <t>EXTERIÉR</t>
  </si>
  <si>
    <t>7)</t>
  </si>
  <si>
    <t>DESKOVÉ MATERIÁLY</t>
  </si>
  <si>
    <t>OSB TL. 22 MM</t>
  </si>
  <si>
    <t>OSB TL. 25 MM</t>
  </si>
  <si>
    <t>CETRIS TL. 24 MM</t>
  </si>
  <si>
    <t>INTERIÉR</t>
  </si>
  <si>
    <t>OMÍTKY - STĚNY</t>
  </si>
  <si>
    <t>OMÍTKY - STROPY</t>
  </si>
  <si>
    <t>SDK STĚNY</t>
  </si>
  <si>
    <t>SDK PODHLEDY</t>
  </si>
  <si>
    <t>8)</t>
  </si>
  <si>
    <t>PŘEKLADY</t>
  </si>
  <si>
    <t>DÉLKA 1,20 M</t>
  </si>
  <si>
    <t>DÉLKA 1,10 M</t>
  </si>
  <si>
    <t>ks</t>
  </si>
  <si>
    <t>DÉLKA 1,00 M</t>
  </si>
  <si>
    <t>PLOCHÉ KERAMICKÉ PŘEKLADY</t>
  </si>
  <si>
    <t>DÉLKA 1,25 M</t>
  </si>
  <si>
    <t>PLOCHÁ OCEL 50*10 mm</t>
  </si>
  <si>
    <t>kg</t>
  </si>
  <si>
    <t>OPĚRNÉ ZDI</t>
  </si>
  <si>
    <t>ZEĎ TL. 300 MM</t>
  </si>
  <si>
    <t>ZEĎ TL. 200 MM</t>
  </si>
  <si>
    <t>ZALOŽENÍ ZDI</t>
  </si>
  <si>
    <t>P1 PATKA</t>
  </si>
  <si>
    <t>W19 1P</t>
  </si>
  <si>
    <t>W20 3N</t>
  </si>
  <si>
    <t>P01.33</t>
  </si>
  <si>
    <t>MINERÁL. VATA
TL. 100 MM</t>
  </si>
  <si>
    <t>SVĚTLÁ
VÝŠKA</t>
  </si>
  <si>
    <t>ŠACHTA</t>
  </si>
  <si>
    <t>W23</t>
  </si>
  <si>
    <t>ZEMNÍ PRÁCE</t>
  </si>
  <si>
    <t>ZALOŽENÍ OBJKETU (VLASTNÍ JÁMA RD)</t>
  </si>
  <si>
    <t>PASY</t>
  </si>
  <si>
    <t>BAZÉN</t>
  </si>
  <si>
    <t>POHOTOVOSTNÍ STÁNÍ ZÁPAD</t>
  </si>
  <si>
    <t xml:space="preserve">PARTER </t>
  </si>
  <si>
    <t>VÝKOP KOLEM JÁMY</t>
  </si>
  <si>
    <t>TERÉNNÍ ÚPRAVY - ZAHRADA</t>
  </si>
  <si>
    <t>TERÉNNÍ ÚPRAVA - ZEĎ U CESTY K HŘBITOVU</t>
  </si>
  <si>
    <t>ZEMINA PRO ZÁSYPY</t>
  </si>
  <si>
    <t>AKUMULAČNÍ NÁDRŽE - VÝKOP</t>
  </si>
  <si>
    <t>ZASYPÁNÍ NÁDRŽÍ</t>
  </si>
  <si>
    <t>VODOMĚRNÁ ŠACHTA - VÝKOP</t>
  </si>
  <si>
    <t>ZASYPÁNÍ ŠACHET</t>
  </si>
  <si>
    <t>VSAK - VÝKOP</t>
  </si>
  <si>
    <t>VSAK - ZASYPÁNÍ</t>
  </si>
  <si>
    <t>AKTUALIZOVÁNO DLE STATIKY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</si>
</sst>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</font>
    <font>
      <sz val="11"/>
      <name val="Calibri"/>
      <family val="2"/>
      <charset val="238"/>
    </font>
    <font>
      <sz val="11"/>
      <name val="Century Gothic"/>
      <family val="2"/>
      <charset val="238"/>
    </font>
    <font>
      <sz val="10"/>
      <name val="Century Gothic"/>
      <family val="2"/>
      <charset val="238"/>
    </font>
    <font>
      <vertAlign val="superscript"/>
      <sz val="10"/>
      <name val="Century Gothic"/>
      <family val="2"/>
      <charset val="238"/>
    </font>
    <font>
      <b/>
      <sz val="10"/>
      <name val="Century Gothic"/>
      <family val="2"/>
      <charset val="238"/>
    </font>
    <font>
      <b/>
      <vertAlign val="superscript"/>
      <sz val="1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</font>
    <font>
      <b/>
      <sz val="10"/>
      <color theme="1"/>
      <name val="Century Gothic"/>
      <family val="2"/>
      <charset val="238"/>
    </font>
    <font>
      <b/>
      <vertAlign val="superscript"/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1"/>
      <name val="Calibri"/>
      <family val="2"/>
      <charset val="238"/>
    </font>
    <font>
      <b/>
      <sz val="11"/>
      <name val="Century Gothic"/>
      <family val="2"/>
      <charset val="238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3" fillId="0" borderId="0" xfId="0" applyFont="1" applyAlignment="1">
      <alignment horizontal="right"/>
    </xf>
    <xf numFmtId="0" fontId="9" fillId="0" borderId="0" xfId="0" applyFont="1"/>
    <xf numFmtId="2" fontId="9" fillId="0" borderId="0" xfId="0" applyNumberFormat="1" applyFont="1"/>
    <xf numFmtId="2" fontId="3" fillId="0" borderId="0" xfId="0" applyNumberFormat="1" applyFont="1" applyAlignment="1"/>
    <xf numFmtId="2" fontId="0" fillId="0" borderId="0" xfId="0" applyNumberFormat="1" applyAlignment="1"/>
    <xf numFmtId="2" fontId="5" fillId="0" borderId="0" xfId="0" applyNumberFormat="1" applyFont="1" applyAlignment="1"/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2" fontId="10" fillId="0" borderId="0" xfId="0" applyNumberFormat="1" applyFont="1"/>
    <xf numFmtId="0" fontId="10" fillId="0" borderId="0" xfId="0" applyFont="1"/>
    <xf numFmtId="0" fontId="3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 vertical="center"/>
    </xf>
    <xf numFmtId="0" fontId="0" fillId="0" borderId="0" xfId="0" applyAlignment="1"/>
    <xf numFmtId="2" fontId="12" fillId="0" borderId="0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2" fontId="12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12" fillId="2" borderId="0" xfId="0" applyFont="1" applyFill="1" applyBorder="1" applyAlignment="1">
      <alignment horizontal="right" vertical="center" wrapText="1"/>
    </xf>
    <xf numFmtId="0" fontId="0" fillId="2" borderId="0" xfId="0" applyFill="1"/>
    <xf numFmtId="2" fontId="0" fillId="2" borderId="0" xfId="0" applyNumberFormat="1" applyFill="1"/>
    <xf numFmtId="2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2" fontId="12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/>
    <xf numFmtId="0" fontId="12" fillId="3" borderId="0" xfId="0" applyFont="1" applyFill="1" applyBorder="1" applyAlignment="1">
      <alignment horizontal="right" vertical="center" wrapText="1"/>
    </xf>
    <xf numFmtId="0" fontId="0" fillId="3" borderId="0" xfId="0" applyFill="1"/>
    <xf numFmtId="2" fontId="0" fillId="3" borderId="0" xfId="0" applyNumberFormat="1" applyFill="1"/>
    <xf numFmtId="2" fontId="1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/>
    </xf>
    <xf numFmtId="2" fontId="1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12" fillId="4" borderId="0" xfId="0" applyFont="1" applyFill="1" applyBorder="1" applyAlignment="1">
      <alignment horizontal="right" vertical="center" wrapText="1"/>
    </xf>
    <xf numFmtId="0" fontId="0" fillId="4" borderId="0" xfId="0" applyFill="1"/>
    <xf numFmtId="2" fontId="0" fillId="4" borderId="0" xfId="0" applyNumberFormat="1" applyFill="1"/>
    <xf numFmtId="2" fontId="1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2" fontId="1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12" fillId="0" borderId="0" xfId="0" applyFont="1" applyFill="1" applyBorder="1" applyAlignment="1">
      <alignment horizontal="righ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/>
    </xf>
    <xf numFmtId="2" fontId="13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13" fillId="3" borderId="0" xfId="0" applyFont="1" applyFill="1" applyBorder="1" applyAlignment="1">
      <alignment horizontal="right" vertical="center" wrapText="1"/>
    </xf>
    <xf numFmtId="2" fontId="13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2" fontId="14" fillId="3" borderId="0" xfId="0" applyNumberFormat="1" applyFont="1" applyFill="1"/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right"/>
    </xf>
    <xf numFmtId="2" fontId="12" fillId="4" borderId="0" xfId="0" applyNumberFormat="1" applyFont="1" applyFill="1" applyBorder="1" applyAlignment="1">
      <alignment horizontal="center" vertical="center" wrapText="1"/>
    </xf>
    <xf numFmtId="2" fontId="1" fillId="4" borderId="0" xfId="0" applyNumberFormat="1" applyFont="1" applyFill="1" applyAlignment="1">
      <alignment horizontal="center" vertical="center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/>
    </xf>
    <xf numFmtId="2" fontId="13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/>
    <xf numFmtId="0" fontId="13" fillId="4" borderId="0" xfId="0" applyFont="1" applyFill="1" applyBorder="1" applyAlignment="1">
      <alignment horizontal="right" vertical="center" wrapText="1"/>
    </xf>
    <xf numFmtId="0" fontId="14" fillId="4" borderId="0" xfId="0" applyFont="1" applyFill="1"/>
    <xf numFmtId="2" fontId="14" fillId="4" borderId="0" xfId="0" applyNumberFormat="1" applyFont="1" applyFill="1"/>
    <xf numFmtId="2" fontId="14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2" fontId="13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13" fillId="2" borderId="0" xfId="0" applyFont="1" applyFill="1" applyBorder="1" applyAlignment="1">
      <alignment horizontal="right" vertical="center" wrapText="1"/>
    </xf>
    <xf numFmtId="0" fontId="14" fillId="2" borderId="0" xfId="0" applyFont="1" applyFill="1"/>
    <xf numFmtId="2" fontId="14" fillId="2" borderId="0" xfId="0" applyNumberFormat="1" applyFont="1" applyFill="1"/>
    <xf numFmtId="2" fontId="1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14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Border="1" applyAlignment="1">
      <alignment horizontal="left" vertical="center" wrapText="1"/>
    </xf>
    <xf numFmtId="2" fontId="13" fillId="3" borderId="0" xfId="0" applyNumberFormat="1" applyFont="1" applyFill="1" applyBorder="1" applyAlignment="1">
      <alignment horizontal="left" vertical="center"/>
    </xf>
    <xf numFmtId="2" fontId="5" fillId="3" borderId="0" xfId="0" applyNumberFormat="1" applyFont="1" applyFill="1"/>
    <xf numFmtId="2" fontId="5" fillId="3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3" fillId="2" borderId="0" xfId="0" applyNumberFormat="1" applyFont="1" applyFill="1" applyBorder="1" applyAlignment="1">
      <alignment horizontal="left" vertical="center" wrapText="1"/>
    </xf>
    <xf numFmtId="2" fontId="13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/>
    <xf numFmtId="2" fontId="5" fillId="2" borderId="0" xfId="0" applyNumberFormat="1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right" vertical="center"/>
    </xf>
    <xf numFmtId="2" fontId="0" fillId="3" borderId="0" xfId="0" applyNumberFormat="1" applyFill="1" applyAlignment="1">
      <alignment horizontal="right" vertical="center"/>
    </xf>
    <xf numFmtId="2" fontId="14" fillId="3" borderId="0" xfId="0" applyNumberFormat="1" applyFont="1" applyFill="1" applyAlignment="1">
      <alignment horizontal="right" vertical="center"/>
    </xf>
    <xf numFmtId="2" fontId="0" fillId="3" borderId="0" xfId="0" applyNumberFormat="1" applyFill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right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2" fontId="12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/>
    <xf numFmtId="0" fontId="12" fillId="4" borderId="1" xfId="0" applyFont="1" applyFill="1" applyBorder="1" applyAlignment="1">
      <alignment horizontal="right" vertical="center" wrapText="1"/>
    </xf>
    <xf numFmtId="0" fontId="0" fillId="4" borderId="1" xfId="0" applyFill="1" applyBorder="1"/>
    <xf numFmtId="2" fontId="0" fillId="4" borderId="1" xfId="0" applyNumberFormat="1" applyFill="1" applyBorder="1"/>
    <xf numFmtId="2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right" vertical="center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12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quotePrefix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2" fontId="1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right"/>
    </xf>
    <xf numFmtId="2" fontId="2" fillId="0" borderId="0" xfId="0" applyNumberFormat="1" applyFont="1"/>
    <xf numFmtId="0" fontId="15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2" fillId="0" borderId="1" xfId="0" applyFont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NumberFormat="1" applyFont="1" applyAlignment="1">
      <alignment horizontal="right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2" fontId="7" fillId="0" borderId="0" xfId="0" applyNumberFormat="1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4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 vertical="center"/>
    </xf>
    <xf numFmtId="0" fontId="7" fillId="4" borderId="0" xfId="0" applyFont="1" applyFill="1"/>
    <xf numFmtId="0" fontId="16" fillId="4" borderId="0" xfId="0" applyFont="1" applyFill="1"/>
    <xf numFmtId="2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2" fontId="3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2" fontId="1" fillId="4" borderId="0" xfId="0" applyNumberFormat="1" applyFont="1" applyFill="1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1" fillId="2" borderId="0" xfId="0" applyNumberFormat="1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2" fontId="1" fillId="3" borderId="0" xfId="0" applyNumberFormat="1" applyFont="1" applyFill="1"/>
    <xf numFmtId="0" fontId="3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2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right" vertical="center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2" fontId="16" fillId="4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right" vertical="center"/>
    </xf>
    <xf numFmtId="2" fontId="7" fillId="0" borderId="0" xfId="0" applyNumberFormat="1" applyFont="1"/>
    <xf numFmtId="0" fontId="1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tabSelected="1" workbookViewId="0">
      <selection activeCell="N50" sqref="N50"/>
    </sheetView>
  </sheetViews>
  <sheetFormatPr defaultRowHeight="13.5" x14ac:dyDescent="0.25"/>
  <cols>
    <col min="1" max="1" width="2.5703125" style="6" bestFit="1" customWidth="1"/>
    <col min="2" max="2" width="29.42578125" style="6" bestFit="1" customWidth="1"/>
    <col min="3" max="3" width="3.7109375" style="6" customWidth="1"/>
    <col min="4" max="4" width="9.140625" style="7"/>
    <col min="5" max="5" width="3.5703125" style="6" bestFit="1" customWidth="1"/>
    <col min="6" max="6" width="3.7109375" style="6" customWidth="1"/>
    <col min="7" max="7" width="6.5703125" style="7" bestFit="1" customWidth="1"/>
    <col min="8" max="8" width="3.5703125" style="6" bestFit="1" customWidth="1"/>
    <col min="9" max="9" width="3.7109375" style="6" customWidth="1"/>
    <col min="10" max="10" width="5.5703125" style="7" bestFit="1" customWidth="1"/>
    <col min="11" max="16384" width="9.140625" style="6"/>
  </cols>
  <sheetData>
    <row r="2" spans="1:12" ht="15" x14ac:dyDescent="0.25">
      <c r="B2" s="203" t="s">
        <v>311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4" spans="1:12" s="9" customFormat="1" ht="12.75" x14ac:dyDescent="0.2">
      <c r="A4" s="9" t="s">
        <v>313</v>
      </c>
      <c r="B4" s="9" t="s">
        <v>312</v>
      </c>
      <c r="D4" s="8"/>
      <c r="G4" s="8"/>
      <c r="J4" s="8"/>
    </row>
    <row r="6" spans="1:12" ht="15.75" x14ac:dyDescent="0.25">
      <c r="B6" s="6" t="s">
        <v>314</v>
      </c>
      <c r="D6" s="7">
        <f>SUM('VODOSTAVEBNÝ BETON, ZÁKLADY'!H10,'VODOSTAVEBNÝ BETON, ZÁKLADY'!K22)</f>
        <v>94.753024249999996</v>
      </c>
      <c r="E6" s="6" t="s">
        <v>86</v>
      </c>
    </row>
    <row r="7" spans="1:12" ht="15.75" x14ac:dyDescent="0.25">
      <c r="B7" s="6" t="s">
        <v>315</v>
      </c>
      <c r="D7" s="7">
        <f>'VODOSTAVEBNÝ BETON, ZÁKLADY'!K27</f>
        <v>12.751919999999998</v>
      </c>
      <c r="E7" s="6" t="s">
        <v>86</v>
      </c>
    </row>
    <row r="8" spans="1:12" ht="15.75" x14ac:dyDescent="0.25">
      <c r="B8" s="6" t="s">
        <v>316</v>
      </c>
      <c r="D8" s="7">
        <f>('ŽB STROPY'!E21)</f>
        <v>158.40900000000005</v>
      </c>
      <c r="E8" s="6" t="s">
        <v>86</v>
      </c>
    </row>
    <row r="9" spans="1:12" ht="15.75" x14ac:dyDescent="0.25">
      <c r="B9" s="6" t="s">
        <v>317</v>
      </c>
      <c r="D9" s="7">
        <f>SUM('ŽB - ZDI OBVODOVÉ'!K54,'ŽB - ZDI VNITŘNÍ'!K61)</f>
        <v>185.54072463768114</v>
      </c>
      <c r="E9" s="6" t="s">
        <v>86</v>
      </c>
    </row>
    <row r="12" spans="1:12" s="9" customFormat="1" ht="12.75" x14ac:dyDescent="0.2">
      <c r="A12" s="9" t="s">
        <v>318</v>
      </c>
      <c r="B12" s="9" t="s">
        <v>319</v>
      </c>
      <c r="D12" s="8"/>
      <c r="G12" s="8"/>
      <c r="J12" s="8"/>
    </row>
    <row r="14" spans="1:12" ht="15.75" x14ac:dyDescent="0.25">
      <c r="B14" s="6" t="s">
        <v>320</v>
      </c>
      <c r="D14" s="7">
        <f>SUM('PŘÍČKY NENOSNÉ'!K46,)+'PŘÍČKY NENOSNÉ'!K49</f>
        <v>11.20434</v>
      </c>
      <c r="E14" s="6" t="s">
        <v>86</v>
      </c>
    </row>
    <row r="15" spans="1:12" ht="15.75" x14ac:dyDescent="0.25">
      <c r="B15" s="6" t="s">
        <v>321</v>
      </c>
      <c r="D15" s="7">
        <f>SUM('PŘÍČKY NENOSNÉ'!K6,'PŘÍČKY NENOSNÉ'!K24)+'PŘÍČKY NENOSNÉ'!K52</f>
        <v>23.4437238403452</v>
      </c>
      <c r="E15" s="6" t="s">
        <v>86</v>
      </c>
    </row>
    <row r="18" spans="1:10" s="9" customFormat="1" ht="12.75" x14ac:dyDescent="0.2">
      <c r="A18" s="9" t="s">
        <v>322</v>
      </c>
      <c r="B18" s="9" t="s">
        <v>323</v>
      </c>
      <c r="D18" s="8"/>
      <c r="G18" s="8"/>
      <c r="J18" s="8"/>
    </row>
    <row r="20" spans="1:10" ht="15.75" x14ac:dyDescent="0.25">
      <c r="B20" s="6" t="s">
        <v>324</v>
      </c>
      <c r="D20" s="7">
        <f>PODLAHY!N65</f>
        <v>43.545600000000015</v>
      </c>
      <c r="E20" s="6" t="s">
        <v>86</v>
      </c>
    </row>
    <row r="23" spans="1:10" s="9" customFormat="1" ht="12.75" x14ac:dyDescent="0.2">
      <c r="A23" s="9" t="s">
        <v>325</v>
      </c>
      <c r="B23" s="9" t="s">
        <v>176</v>
      </c>
      <c r="D23" s="8"/>
      <c r="G23" s="8"/>
      <c r="J23" s="8"/>
    </row>
    <row r="25" spans="1:10" ht="27" x14ac:dyDescent="0.25">
      <c r="B25" s="22" t="s">
        <v>326</v>
      </c>
      <c r="D25" s="7">
        <f>PODLAHY!Q65</f>
        <v>25.466399999999993</v>
      </c>
      <c r="E25" s="6" t="s">
        <v>86</v>
      </c>
      <c r="G25" s="7">
        <v>80.17</v>
      </c>
      <c r="H25" s="6" t="s">
        <v>85</v>
      </c>
    </row>
    <row r="26" spans="1:10" ht="27" x14ac:dyDescent="0.25">
      <c r="B26" s="22" t="s">
        <v>327</v>
      </c>
      <c r="D26" s="7">
        <f>PODLAHY!T65</f>
        <v>3.0340000000000003</v>
      </c>
      <c r="E26" s="6" t="s">
        <v>86</v>
      </c>
      <c r="G26" s="7">
        <f>PODLAHY!T67</f>
        <v>30.34</v>
      </c>
      <c r="H26" s="6" t="s">
        <v>85</v>
      </c>
    </row>
    <row r="27" spans="1:10" ht="15.75" x14ac:dyDescent="0.25">
      <c r="B27" s="22" t="s">
        <v>328</v>
      </c>
      <c r="D27" s="7">
        <f>PODLAHY!W65</f>
        <v>17.528400000000005</v>
      </c>
      <c r="E27" s="6" t="s">
        <v>86</v>
      </c>
      <c r="G27" s="7">
        <f>PODLAHY!W67</f>
        <v>614.61999999999989</v>
      </c>
      <c r="H27" s="6" t="s">
        <v>85</v>
      </c>
    </row>
    <row r="28" spans="1:10" x14ac:dyDescent="0.25">
      <c r="B28" s="22"/>
    </row>
    <row r="29" spans="1:10" ht="15.75" x14ac:dyDescent="0.25">
      <c r="B29" s="22" t="s">
        <v>332</v>
      </c>
      <c r="D29" s="7">
        <f>'TEPELNÉ IZOLACE'!X29</f>
        <v>0.23631250000000012</v>
      </c>
      <c r="E29" s="6" t="s">
        <v>86</v>
      </c>
      <c r="G29" s="7">
        <f>'TEPELNÉ IZOLACE'!X28</f>
        <v>1.2437500000000006</v>
      </c>
      <c r="H29" s="6" t="s">
        <v>85</v>
      </c>
    </row>
    <row r="30" spans="1:10" ht="15.75" x14ac:dyDescent="0.25">
      <c r="B30" s="22" t="s">
        <v>333</v>
      </c>
      <c r="D30" s="7">
        <f>'TEPELNÉ IZOLACE'!R20</f>
        <v>16.529200000000003</v>
      </c>
      <c r="E30" s="6" t="s">
        <v>86</v>
      </c>
      <c r="G30" s="7">
        <f>'TEPELNÉ IZOLACE'!R19</f>
        <v>82.646000000000015</v>
      </c>
      <c r="H30" s="6" t="s">
        <v>85</v>
      </c>
    </row>
    <row r="31" spans="1:10" ht="15.75" x14ac:dyDescent="0.25">
      <c r="B31" s="22" t="s">
        <v>334</v>
      </c>
      <c r="D31" s="7">
        <f>SUM('TEPELNÉ IZOLACE'!U23,'TEPELNÉ IZOLACE'!U26)</f>
        <v>111.150732</v>
      </c>
      <c r="E31" s="6" t="s">
        <v>86</v>
      </c>
      <c r="G31" s="7">
        <f>SUM('TEPELNÉ IZOLACE'!U22,'TEPELNÉ IZOLACE'!U25)</f>
        <v>463.12805000000003</v>
      </c>
      <c r="H31" s="6" t="s">
        <v>85</v>
      </c>
    </row>
    <row r="32" spans="1:10" x14ac:dyDescent="0.25">
      <c r="B32" s="22"/>
    </row>
    <row r="33" spans="1:10" ht="15.75" x14ac:dyDescent="0.25">
      <c r="B33" s="22" t="s">
        <v>335</v>
      </c>
      <c r="D33" s="7">
        <f>'TEPELNÉ IZOLACE'!L17</f>
        <v>29.159807300000001</v>
      </c>
      <c r="E33" s="6" t="s">
        <v>86</v>
      </c>
      <c r="G33" s="7">
        <f>'TEPELNÉ IZOLACE'!L16</f>
        <v>153.47266999999999</v>
      </c>
      <c r="H33" s="6" t="s">
        <v>85</v>
      </c>
    </row>
    <row r="34" spans="1:10" ht="15.75" x14ac:dyDescent="0.25">
      <c r="B34" s="22" t="s">
        <v>348</v>
      </c>
      <c r="D34" s="7">
        <f>'TEPELNÉ IZOLACE'!O20</f>
        <v>13.771200000000002</v>
      </c>
      <c r="E34" s="6" t="s">
        <v>86</v>
      </c>
      <c r="G34" s="7">
        <f>'TEPELNÉ IZOLACE'!O19</f>
        <v>68.856000000000009</v>
      </c>
      <c r="H34" s="6" t="s">
        <v>85</v>
      </c>
    </row>
    <row r="36" spans="1:10" ht="15.75" x14ac:dyDescent="0.25">
      <c r="B36" s="6" t="s">
        <v>336</v>
      </c>
      <c r="D36" s="7">
        <f>'TEPELNÉ IZOLACE'!C5</f>
        <v>17.987200000000001</v>
      </c>
      <c r="E36" s="6" t="s">
        <v>86</v>
      </c>
      <c r="G36" s="7">
        <f>'TEPELNÉ IZOLACE'!C4</f>
        <v>112.42</v>
      </c>
      <c r="H36" s="6" t="s">
        <v>85</v>
      </c>
    </row>
    <row r="37" spans="1:10" ht="15.75" x14ac:dyDescent="0.25">
      <c r="B37" s="6" t="s">
        <v>337</v>
      </c>
      <c r="D37" s="7">
        <f>'TEPELNÉ IZOLACE'!F8</f>
        <v>34.571159999999999</v>
      </c>
      <c r="E37" s="6" t="s">
        <v>86</v>
      </c>
      <c r="G37" s="7">
        <f>'TEPELNÉ IZOLACE'!F7</f>
        <v>192.06200000000001</v>
      </c>
      <c r="H37" s="6" t="s">
        <v>85</v>
      </c>
    </row>
    <row r="39" spans="1:10" ht="15.75" x14ac:dyDescent="0.25">
      <c r="B39" s="6" t="s">
        <v>338</v>
      </c>
      <c r="D39" s="7">
        <f>SUM('TEPELNÉ IZOLACE'!I11,'TEPELNÉ IZOLACE'!I14)</f>
        <v>20.655999999999999</v>
      </c>
      <c r="E39" s="6" t="s">
        <v>86</v>
      </c>
      <c r="G39" s="7">
        <f>SUM('TEPELNÉ IZOLACE'!I10,'TEPELNÉ IZOLACE'!I13)</f>
        <v>103.28</v>
      </c>
      <c r="H39" s="6" t="s">
        <v>85</v>
      </c>
    </row>
    <row r="40" spans="1:10" ht="15.75" x14ac:dyDescent="0.25">
      <c r="B40" s="6" t="s">
        <v>340</v>
      </c>
      <c r="D40" s="7">
        <f>SUM('TEPELNÉ IZOLACE'!AD36,'TEPELNÉ IZOLACE'!AD39,'TEPELNÉ IZOLACE'!AD42)</f>
        <v>4.4053679999999993</v>
      </c>
      <c r="E40" s="6" t="s">
        <v>86</v>
      </c>
      <c r="G40" s="7">
        <f>SUM('TEPELNÉ IZOLACE'!AD35,'TEPELNÉ IZOLACE'!AD38,'TEPELNÉ IZOLACE'!AD41)</f>
        <v>36.711399999999998</v>
      </c>
      <c r="H40" s="6" t="s">
        <v>85</v>
      </c>
    </row>
    <row r="41" spans="1:10" ht="15.75" x14ac:dyDescent="0.25">
      <c r="B41" s="6" t="s">
        <v>347</v>
      </c>
      <c r="D41" s="7">
        <f>'TEPELNÉ IZOLACE'!AJ45</f>
        <v>1.8765000000000001</v>
      </c>
      <c r="E41" s="6" t="s">
        <v>86</v>
      </c>
      <c r="G41" s="7">
        <f>'TEPELNÉ IZOLACE'!AJ44</f>
        <v>18.765000000000001</v>
      </c>
      <c r="H41" s="6" t="s">
        <v>85</v>
      </c>
    </row>
    <row r="42" spans="1:10" ht="15.75" x14ac:dyDescent="0.25">
      <c r="B42" s="6" t="s">
        <v>339</v>
      </c>
      <c r="D42" s="7">
        <f>SUM('TEPELNÉ IZOLACE'!AA5,'TEPELNÉ IZOLACE'!AA8,'TEPELNÉ IZOLACE'!AA32)</f>
        <v>30.435504000000002</v>
      </c>
      <c r="E42" s="6" t="s">
        <v>86</v>
      </c>
      <c r="G42" s="7">
        <f>SUM('TEPELNÉ IZOLACE'!AA31,'TEPELNÉ IZOLACE'!AA7,'TEPELNÉ IZOLACE'!AA4)</f>
        <v>380.44380000000001</v>
      </c>
      <c r="H42" s="6" t="s">
        <v>85</v>
      </c>
    </row>
    <row r="43" spans="1:10" ht="15.75" x14ac:dyDescent="0.25">
      <c r="B43" s="6" t="s">
        <v>349</v>
      </c>
      <c r="D43" s="7">
        <f>SUM('TEPELNÉ IZOLACE'!AG39)</f>
        <v>0.8195039999999999</v>
      </c>
      <c r="E43" s="6" t="s">
        <v>86</v>
      </c>
      <c r="G43" s="7">
        <f>'TEPELNÉ IZOLACE'!AG38</f>
        <v>13.658399999999999</v>
      </c>
      <c r="H43" s="6" t="s">
        <v>85</v>
      </c>
    </row>
    <row r="46" spans="1:10" s="9" customFormat="1" ht="12.75" x14ac:dyDescent="0.2">
      <c r="A46" s="9" t="s">
        <v>329</v>
      </c>
      <c r="B46" s="9" t="s">
        <v>330</v>
      </c>
      <c r="D46" s="8"/>
      <c r="G46" s="8"/>
      <c r="J46" s="8"/>
    </row>
    <row r="47" spans="1:10" s="9" customFormat="1" ht="12.75" x14ac:dyDescent="0.2">
      <c r="D47" s="8"/>
      <c r="G47" s="8"/>
      <c r="J47" s="8"/>
    </row>
    <row r="48" spans="1:10" ht="27" x14ac:dyDescent="0.25">
      <c r="B48" s="22" t="s">
        <v>331</v>
      </c>
      <c r="D48" s="7">
        <f>PODLAHY!Z65</f>
        <v>9.2193000000000005</v>
      </c>
      <c r="E48" s="6" t="s">
        <v>86</v>
      </c>
      <c r="G48" s="7">
        <f>PODLAHY!Z67</f>
        <v>607.05999999999995</v>
      </c>
      <c r="H48" s="6" t="s">
        <v>85</v>
      </c>
    </row>
    <row r="49" spans="1:10" ht="27" x14ac:dyDescent="0.25">
      <c r="B49" s="22" t="s">
        <v>350</v>
      </c>
      <c r="D49" s="7">
        <f>G49*0.04</f>
        <v>6.1134560000000002</v>
      </c>
      <c r="E49" s="6" t="s">
        <v>86</v>
      </c>
      <c r="G49" s="7">
        <f>((4.22*2.6*6)+(4.9*2.6*4)+(4.8*3)+(0.864*2.6)+(2.215*2.6*2)+(3.94*2))</f>
        <v>152.8364</v>
      </c>
      <c r="H49" s="6" t="s">
        <v>85</v>
      </c>
    </row>
    <row r="52" spans="1:10" s="9" customFormat="1" ht="12.75" x14ac:dyDescent="0.2">
      <c r="A52" s="9" t="s">
        <v>351</v>
      </c>
      <c r="B52" s="9" t="s">
        <v>352</v>
      </c>
      <c r="D52" s="8"/>
      <c r="G52" s="8"/>
      <c r="J52" s="8"/>
    </row>
    <row r="54" spans="1:10" x14ac:dyDescent="0.25">
      <c r="B54" s="6" t="s">
        <v>353</v>
      </c>
    </row>
    <row r="55" spans="1:10" ht="15.75" x14ac:dyDescent="0.25">
      <c r="B55" s="6" t="s">
        <v>296</v>
      </c>
      <c r="D55" s="7">
        <f>SUM('POVRCHY EXT.'!D8)</f>
        <v>112.47</v>
      </c>
      <c r="E55" s="6" t="s">
        <v>85</v>
      </c>
    </row>
    <row r="56" spans="1:10" ht="15.75" x14ac:dyDescent="0.25">
      <c r="B56" s="6" t="s">
        <v>299</v>
      </c>
      <c r="D56" s="7">
        <f>SUM('POVRCHY EXT.'!D13,'POVRCHY EXT.'!D21)</f>
        <v>284.52</v>
      </c>
      <c r="E56" s="6" t="s">
        <v>85</v>
      </c>
    </row>
    <row r="57" spans="1:10" ht="15.75" x14ac:dyDescent="0.25">
      <c r="B57" s="6" t="s">
        <v>301</v>
      </c>
      <c r="D57" s="7">
        <f>SUM('POVRCHY EXT.'!D17,'POVRCHY EXT.'!D23,'POVRCHY EXT.'!D27)</f>
        <v>345.82900000000001</v>
      </c>
      <c r="E57" s="6" t="s">
        <v>85</v>
      </c>
    </row>
    <row r="58" spans="1:10" ht="15.75" x14ac:dyDescent="0.25">
      <c r="B58" s="6" t="s">
        <v>310</v>
      </c>
      <c r="D58" s="7">
        <f>'POVRCHY EXT.'!D29</f>
        <v>202.79</v>
      </c>
      <c r="E58" s="6" t="s">
        <v>85</v>
      </c>
    </row>
    <row r="60" spans="1:10" x14ac:dyDescent="0.25">
      <c r="B60" s="6" t="s">
        <v>359</v>
      </c>
    </row>
    <row r="61" spans="1:10" ht="15.75" x14ac:dyDescent="0.25">
      <c r="B61" s="6" t="s">
        <v>360</v>
      </c>
      <c r="D61" s="7">
        <f>'POVRCHY INT'!Y88</f>
        <v>1596.25324</v>
      </c>
      <c r="E61" s="6" t="s">
        <v>85</v>
      </c>
    </row>
    <row r="62" spans="1:10" ht="15.75" x14ac:dyDescent="0.25">
      <c r="B62" s="6" t="s">
        <v>361</v>
      </c>
      <c r="D62" s="7">
        <f>'POVRCHY INT'!AH88</f>
        <v>312.01439999999997</v>
      </c>
      <c r="E62" s="6" t="s">
        <v>85</v>
      </c>
    </row>
    <row r="63" spans="1:10" ht="15.75" x14ac:dyDescent="0.25">
      <c r="B63" s="6" t="s">
        <v>362</v>
      </c>
      <c r="D63" s="7">
        <f>'POVRCHY INT'!AB88</f>
        <v>262.27009000000004</v>
      </c>
      <c r="E63" s="6" t="s">
        <v>85</v>
      </c>
    </row>
    <row r="64" spans="1:10" ht="15.75" x14ac:dyDescent="0.25">
      <c r="B64" s="6" t="s">
        <v>363</v>
      </c>
      <c r="D64" s="7">
        <f>'POVRCHY INT'!AK88</f>
        <v>420.01692450000002</v>
      </c>
      <c r="E64" s="6" t="s">
        <v>85</v>
      </c>
    </row>
    <row r="67" spans="1:11" s="9" customFormat="1" ht="12.75" x14ac:dyDescent="0.2">
      <c r="A67" s="9" t="s">
        <v>354</v>
      </c>
      <c r="B67" s="9" t="s">
        <v>355</v>
      </c>
      <c r="D67" s="8"/>
      <c r="G67" s="8"/>
      <c r="J67" s="8"/>
    </row>
    <row r="69" spans="1:11" ht="15.75" x14ac:dyDescent="0.25">
      <c r="B69" s="6" t="s">
        <v>356</v>
      </c>
      <c r="D69" s="7">
        <f>'POVRCHY EXT.'!M31</f>
        <v>502.52333999999996</v>
      </c>
      <c r="E69" s="6" t="s">
        <v>85</v>
      </c>
    </row>
    <row r="70" spans="1:11" ht="15.75" x14ac:dyDescent="0.25">
      <c r="B70" s="6" t="s">
        <v>357</v>
      </c>
      <c r="D70" s="7">
        <f>'POVRCHY EXT.'!G31</f>
        <v>269.46899999999999</v>
      </c>
      <c r="E70" s="6" t="s">
        <v>85</v>
      </c>
    </row>
    <row r="71" spans="1:11" ht="15.75" x14ac:dyDescent="0.25">
      <c r="B71" s="6" t="s">
        <v>358</v>
      </c>
      <c r="D71" s="7">
        <f>'POVRCHY EXT.'!J31</f>
        <v>76.36</v>
      </c>
      <c r="E71" s="6" t="s">
        <v>85</v>
      </c>
    </row>
    <row r="74" spans="1:11" s="9" customFormat="1" ht="12.75" x14ac:dyDescent="0.2">
      <c r="A74" s="9" t="s">
        <v>364</v>
      </c>
      <c r="B74" s="9" t="s">
        <v>365</v>
      </c>
      <c r="D74" s="8"/>
      <c r="G74" s="8"/>
      <c r="J74" s="8"/>
    </row>
    <row r="76" spans="1:11" x14ac:dyDescent="0.25">
      <c r="B76" s="6" t="s">
        <v>372</v>
      </c>
    </row>
    <row r="77" spans="1:11" x14ac:dyDescent="0.25">
      <c r="B77" s="6" t="s">
        <v>369</v>
      </c>
      <c r="D77" s="7">
        <f>1</f>
        <v>1</v>
      </c>
      <c r="E77" s="6" t="s">
        <v>368</v>
      </c>
      <c r="G77" s="7">
        <f>D77*1</f>
        <v>1</v>
      </c>
      <c r="H77" s="6" t="s">
        <v>13</v>
      </c>
    </row>
    <row r="78" spans="1:11" x14ac:dyDescent="0.25">
      <c r="B78" s="6" t="s">
        <v>367</v>
      </c>
      <c r="D78" s="7">
        <f>1+1+3</f>
        <v>5</v>
      </c>
      <c r="E78" s="6" t="s">
        <v>368</v>
      </c>
      <c r="G78" s="7">
        <f>D78*1.1</f>
        <v>5.5</v>
      </c>
      <c r="H78" s="6" t="s">
        <v>13</v>
      </c>
    </row>
    <row r="79" spans="1:11" x14ac:dyDescent="0.25">
      <c r="B79" s="6" t="s">
        <v>366</v>
      </c>
      <c r="D79" s="7">
        <f>4</f>
        <v>4</v>
      </c>
      <c r="E79" s="6" t="s">
        <v>368</v>
      </c>
      <c r="G79" s="7">
        <f>D79*1.2</f>
        <v>4.8</v>
      </c>
      <c r="H79" s="6" t="s">
        <v>13</v>
      </c>
    </row>
    <row r="80" spans="1:11" x14ac:dyDescent="0.25">
      <c r="G80" s="7">
        <f>SUM(G77:G79)</f>
        <v>11.3</v>
      </c>
      <c r="H80" s="6" t="s">
        <v>13</v>
      </c>
      <c r="J80" s="7">
        <f>G80*3.99</f>
        <v>45.087000000000003</v>
      </c>
      <c r="K80" s="6" t="s">
        <v>373</v>
      </c>
    </row>
    <row r="82" spans="2:5" x14ac:dyDescent="0.25">
      <c r="B82" s="6" t="s">
        <v>370</v>
      </c>
    </row>
    <row r="83" spans="2:5" x14ac:dyDescent="0.25">
      <c r="B83" s="6" t="s">
        <v>371</v>
      </c>
      <c r="D83" s="7">
        <f>5+6</f>
        <v>11</v>
      </c>
      <c r="E83" s="6" t="s">
        <v>368</v>
      </c>
    </row>
  </sheetData>
  <mergeCells count="1">
    <mergeCell ref="B2:L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workbookViewId="0">
      <pane ySplit="4" topLeftCell="A63" activePane="bottomLeft" state="frozen"/>
      <selection pane="bottomLeft" activeCell="AN88" sqref="AN88"/>
    </sheetView>
  </sheetViews>
  <sheetFormatPr defaultRowHeight="15" x14ac:dyDescent="0.25"/>
  <cols>
    <col min="2" max="2" width="3.7109375" customWidth="1"/>
    <col min="3" max="3" width="20.42578125" style="29" bestFit="1" customWidth="1"/>
    <col min="4" max="4" width="3.7109375" style="29" customWidth="1"/>
    <col min="5" max="5" width="8.5703125" style="31" bestFit="1" customWidth="1"/>
    <col min="6" max="6" width="3.7109375" style="31" customWidth="1"/>
    <col min="7" max="7" width="8.7109375" style="34" bestFit="1" customWidth="1"/>
    <col min="8" max="8" width="3.5703125" bestFit="1" customWidth="1"/>
    <col min="9" max="9" width="3.7109375" customWidth="1"/>
    <col min="10" max="10" width="9.140625" style="2"/>
    <col min="11" max="11" width="2.85546875" bestFit="1" customWidth="1"/>
    <col min="12" max="12" width="3.7109375" customWidth="1"/>
    <col min="13" max="13" width="9.140625" style="4"/>
    <col min="14" max="14" width="4.7109375" bestFit="1" customWidth="1"/>
    <col min="15" max="15" width="3.7109375" customWidth="1"/>
    <col min="16" max="16" width="6.42578125" style="2" bestFit="1" customWidth="1"/>
    <col min="17" max="17" width="3.5703125" bestFit="1" customWidth="1"/>
    <col min="18" max="18" width="3.7109375" customWidth="1"/>
    <col min="19" max="19" width="6.85546875" style="2" bestFit="1" customWidth="1"/>
    <col min="20" max="20" width="3.5703125" bestFit="1" customWidth="1"/>
    <col min="21" max="21" width="6.7109375" customWidth="1"/>
    <col min="22" max="22" width="8.5703125" style="2" bestFit="1" customWidth="1"/>
    <col min="23" max="23" width="3.5703125" bestFit="1" customWidth="1"/>
    <col min="24" max="24" width="3.7109375" customWidth="1"/>
    <col min="25" max="25" width="8.42578125" bestFit="1" customWidth="1"/>
    <col min="26" max="26" width="3.5703125" bestFit="1" customWidth="1"/>
    <col min="27" max="27" width="3.7109375" customWidth="1"/>
    <col min="28" max="28" width="7.42578125" style="2" bestFit="1" customWidth="1"/>
    <col min="29" max="29" width="3.5703125" bestFit="1" customWidth="1"/>
    <col min="30" max="30" width="3.5703125" customWidth="1"/>
    <col min="31" max="31" width="8.7109375" bestFit="1" customWidth="1"/>
    <col min="32" max="32" width="3.5703125" customWidth="1"/>
    <col min="33" max="33" width="3.7109375" customWidth="1"/>
    <col min="34" max="34" width="9.28515625" style="2" bestFit="1" customWidth="1"/>
    <col min="35" max="35" width="3.5703125" bestFit="1" customWidth="1"/>
    <col min="36" max="36" width="3.7109375" customWidth="1"/>
    <col min="37" max="37" width="7.28515625" style="2" bestFit="1" customWidth="1"/>
    <col min="38" max="38" width="3.5703125" bestFit="1" customWidth="1"/>
    <col min="39" max="39" width="3.7109375" customWidth="1"/>
    <col min="40" max="40" width="8.7109375" bestFit="1" customWidth="1"/>
    <col min="41" max="42" width="3.5703125" bestFit="1" customWidth="1"/>
  </cols>
  <sheetData>
    <row r="1" spans="1:42" x14ac:dyDescent="0.25">
      <c r="A1" s="28" t="s">
        <v>196</v>
      </c>
      <c r="B1" s="28"/>
      <c r="C1" s="30"/>
      <c r="D1" s="27"/>
      <c r="E1" s="28"/>
      <c r="F1" s="28"/>
      <c r="G1" s="33"/>
      <c r="H1" s="26"/>
      <c r="I1" s="26"/>
      <c r="J1" s="32"/>
      <c r="K1" s="26"/>
      <c r="L1" s="26"/>
      <c r="M1" s="35"/>
      <c r="N1" s="26"/>
      <c r="O1" s="26"/>
      <c r="P1" s="32"/>
      <c r="Q1" s="26"/>
      <c r="R1" s="26"/>
      <c r="S1" s="32"/>
    </row>
    <row r="2" spans="1:42" x14ac:dyDescent="0.25">
      <c r="A2" s="28"/>
      <c r="B2" s="28"/>
      <c r="C2" s="30"/>
      <c r="D2" s="27"/>
      <c r="E2" s="28"/>
      <c r="F2" s="28"/>
      <c r="G2" s="33"/>
      <c r="H2" s="26"/>
      <c r="I2" s="26"/>
      <c r="J2" s="32"/>
      <c r="K2" s="26"/>
      <c r="L2" s="26"/>
      <c r="M2" s="35"/>
      <c r="N2" s="26"/>
      <c r="O2" s="26"/>
      <c r="P2" s="32"/>
      <c r="Q2" s="26"/>
      <c r="R2" s="26"/>
      <c r="S2" s="32"/>
    </row>
    <row r="3" spans="1:42" x14ac:dyDescent="0.25">
      <c r="A3" s="28"/>
      <c r="B3" s="28"/>
      <c r="C3" s="30"/>
      <c r="D3" s="27"/>
      <c r="E3" s="28"/>
      <c r="F3" s="28"/>
      <c r="G3" s="33"/>
      <c r="H3" s="26"/>
      <c r="I3" s="26"/>
      <c r="J3" s="32"/>
      <c r="K3" s="26"/>
      <c r="L3" s="26"/>
      <c r="M3" s="35"/>
      <c r="N3" s="26"/>
      <c r="O3" s="26"/>
      <c r="P3" s="32"/>
      <c r="Q3" s="26"/>
      <c r="R3" s="26"/>
      <c r="S3" s="32"/>
      <c r="Y3" s="205" t="s">
        <v>290</v>
      </c>
      <c r="Z3" s="205"/>
      <c r="AA3" s="205"/>
      <c r="AB3" s="205"/>
      <c r="AC3" s="205"/>
      <c r="AD3" s="205"/>
      <c r="AE3" s="205"/>
      <c r="AF3" s="205"/>
      <c r="AH3" s="206" t="s">
        <v>292</v>
      </c>
      <c r="AI3" s="205"/>
      <c r="AJ3" s="205"/>
      <c r="AK3" s="205"/>
      <c r="AL3" s="205"/>
      <c r="AM3" s="204"/>
      <c r="AN3" s="204"/>
      <c r="AO3" s="204"/>
    </row>
    <row r="4" spans="1:42" s="37" customFormat="1" ht="30" x14ac:dyDescent="0.25">
      <c r="A4" s="26" t="s">
        <v>283</v>
      </c>
      <c r="B4" s="26"/>
      <c r="C4" s="30" t="s">
        <v>284</v>
      </c>
      <c r="D4" s="27"/>
      <c r="E4" s="28" t="s">
        <v>6</v>
      </c>
      <c r="F4" s="28"/>
      <c r="G4" s="32" t="s">
        <v>7</v>
      </c>
      <c r="H4" s="26"/>
      <c r="I4" s="26"/>
      <c r="J4" s="32" t="s">
        <v>285</v>
      </c>
      <c r="K4" s="26"/>
      <c r="L4" s="26"/>
      <c r="M4" s="26" t="s">
        <v>383</v>
      </c>
      <c r="N4" s="26"/>
      <c r="O4" s="26"/>
      <c r="P4" s="32" t="s">
        <v>286</v>
      </c>
      <c r="Q4" s="26"/>
      <c r="R4" s="26"/>
      <c r="S4" s="32" t="s">
        <v>287</v>
      </c>
      <c r="V4" s="198" t="s">
        <v>21</v>
      </c>
      <c r="Y4" s="36" t="s">
        <v>289</v>
      </c>
      <c r="Z4" s="36"/>
      <c r="AB4" s="198" t="s">
        <v>291</v>
      </c>
      <c r="AE4" s="199" t="s">
        <v>293</v>
      </c>
      <c r="AH4" s="198" t="s">
        <v>289</v>
      </c>
      <c r="AK4" s="198" t="s">
        <v>291</v>
      </c>
      <c r="AN4" s="199" t="s">
        <v>293</v>
      </c>
    </row>
    <row r="5" spans="1:42" s="55" customFormat="1" ht="27" x14ac:dyDescent="0.25">
      <c r="A5" s="50" t="s">
        <v>197</v>
      </c>
      <c r="B5" s="50"/>
      <c r="C5" s="51" t="s">
        <v>198</v>
      </c>
      <c r="D5" s="50"/>
      <c r="E5" s="51" t="s">
        <v>2</v>
      </c>
      <c r="F5" s="51"/>
      <c r="G5" s="52">
        <v>9.2100000000000009</v>
      </c>
      <c r="H5" s="53" t="s">
        <v>85</v>
      </c>
      <c r="I5" s="50"/>
      <c r="J5" s="52">
        <v>14.77</v>
      </c>
      <c r="K5" s="50" t="s">
        <v>13</v>
      </c>
      <c r="L5" s="50"/>
      <c r="M5" s="54" t="s">
        <v>199</v>
      </c>
      <c r="N5" s="50" t="s">
        <v>12</v>
      </c>
      <c r="O5" s="50"/>
      <c r="P5" s="52">
        <v>0.22</v>
      </c>
      <c r="Q5" s="53" t="s">
        <v>85</v>
      </c>
      <c r="R5" s="50"/>
      <c r="S5" s="52">
        <f>1.1*2.3+0.9*2.25</f>
        <v>4.5549999999999997</v>
      </c>
      <c r="T5" s="53" t="s">
        <v>85</v>
      </c>
      <c r="V5" s="56">
        <f>(J5*2.85)-((1.5*2.85)+(0.9*2.85)+(1.1*2.3+0.9*2.25)+(P5))</f>
        <v>30.479500000000002</v>
      </c>
      <c r="W5" s="53" t="s">
        <v>85</v>
      </c>
      <c r="Y5" s="56">
        <f>V5</f>
        <v>30.479500000000002</v>
      </c>
      <c r="Z5" s="53" t="s">
        <v>85</v>
      </c>
      <c r="AB5" s="57" t="s">
        <v>288</v>
      </c>
      <c r="AC5" s="53"/>
      <c r="AD5" s="53"/>
      <c r="AE5" s="62" t="s">
        <v>288</v>
      </c>
      <c r="AF5" s="53"/>
      <c r="AH5" s="57" t="s">
        <v>288</v>
      </c>
      <c r="AK5" s="56">
        <f>G5</f>
        <v>9.2100000000000009</v>
      </c>
      <c r="AL5" s="53" t="s">
        <v>85</v>
      </c>
      <c r="AM5" s="59"/>
      <c r="AN5" s="60" t="s">
        <v>288</v>
      </c>
      <c r="AO5" s="53"/>
    </row>
    <row r="6" spans="1:42" s="55" customFormat="1" ht="15.75" x14ac:dyDescent="0.25">
      <c r="A6" s="50" t="s">
        <v>200</v>
      </c>
      <c r="B6" s="50"/>
      <c r="C6" s="51" t="s">
        <v>201</v>
      </c>
      <c r="D6" s="50"/>
      <c r="E6" s="51" t="s">
        <v>2</v>
      </c>
      <c r="F6" s="51"/>
      <c r="G6" s="52">
        <v>15.38</v>
      </c>
      <c r="H6" s="53" t="s">
        <v>85</v>
      </c>
      <c r="I6" s="50"/>
      <c r="J6" s="52">
        <v>18.04</v>
      </c>
      <c r="K6" s="50" t="s">
        <v>13</v>
      </c>
      <c r="L6" s="50"/>
      <c r="M6" s="54" t="s">
        <v>202</v>
      </c>
      <c r="N6" s="50" t="s">
        <v>12</v>
      </c>
      <c r="O6" s="50"/>
      <c r="P6" s="61" t="s">
        <v>288</v>
      </c>
      <c r="Q6" s="53"/>
      <c r="R6" s="50"/>
      <c r="S6" s="52">
        <f>(1.5*2.6)+(0.9*2.6)</f>
        <v>6.24</v>
      </c>
      <c r="T6" s="53" t="s">
        <v>85</v>
      </c>
      <c r="V6" s="56">
        <f>J6*2.85-((1.5*2.85)+(0.9*2.85))</f>
        <v>44.573999999999998</v>
      </c>
      <c r="W6" s="53" t="s">
        <v>85</v>
      </c>
      <c r="Y6" s="56">
        <f>V6-AE6</f>
        <v>28.064</v>
      </c>
      <c r="Z6" s="53" t="s">
        <v>85</v>
      </c>
      <c r="AB6" s="57" t="s">
        <v>288</v>
      </c>
      <c r="AC6" s="53"/>
      <c r="AD6" s="53"/>
      <c r="AE6" s="62">
        <f>(6.35*2.6)</f>
        <v>16.509999999999998</v>
      </c>
      <c r="AF6" s="53" t="s">
        <v>85</v>
      </c>
      <c r="AH6" s="56">
        <f>G6-5.94</f>
        <v>9.4400000000000013</v>
      </c>
      <c r="AI6" s="53" t="s">
        <v>85</v>
      </c>
      <c r="AK6" s="57" t="s">
        <v>288</v>
      </c>
      <c r="AL6" s="53"/>
      <c r="AN6" s="60" t="s">
        <v>288</v>
      </c>
      <c r="AO6" s="53"/>
      <c r="AP6" s="53"/>
    </row>
    <row r="7" spans="1:42" s="55" customFormat="1" ht="15.75" x14ac:dyDescent="0.25">
      <c r="A7" s="50" t="s">
        <v>203</v>
      </c>
      <c r="B7" s="50"/>
      <c r="C7" s="51" t="s">
        <v>204</v>
      </c>
      <c r="D7" s="50"/>
      <c r="E7" s="51" t="s">
        <v>2</v>
      </c>
      <c r="F7" s="51"/>
      <c r="G7" s="52">
        <v>7.73</v>
      </c>
      <c r="H7" s="53" t="s">
        <v>85</v>
      </c>
      <c r="I7" s="50"/>
      <c r="J7" s="52">
        <v>12.38</v>
      </c>
      <c r="K7" s="50" t="s">
        <v>13</v>
      </c>
      <c r="L7" s="50"/>
      <c r="M7" s="54" t="s">
        <v>199</v>
      </c>
      <c r="N7" s="50" t="s">
        <v>12</v>
      </c>
      <c r="O7" s="50"/>
      <c r="P7" s="61" t="s">
        <v>288</v>
      </c>
      <c r="Q7" s="53"/>
      <c r="R7" s="50"/>
      <c r="S7" s="52">
        <f>0.9*2.3</f>
        <v>2.0699999999999998</v>
      </c>
      <c r="T7" s="53" t="s">
        <v>85</v>
      </c>
      <c r="V7" s="56">
        <f>(J7*2.85)-S7</f>
        <v>33.213000000000001</v>
      </c>
      <c r="W7" s="53" t="s">
        <v>85</v>
      </c>
      <c r="Y7" s="56">
        <f>V7-(1.625*2.85)</f>
        <v>28.58175</v>
      </c>
      <c r="Z7" s="53" t="s">
        <v>85</v>
      </c>
      <c r="AB7" s="56">
        <f>1.625*2.6</f>
        <v>4.2250000000000005</v>
      </c>
      <c r="AC7" s="53" t="s">
        <v>85</v>
      </c>
      <c r="AD7" s="53"/>
      <c r="AE7" s="62" t="s">
        <v>288</v>
      </c>
      <c r="AF7" s="53"/>
      <c r="AH7" s="57" t="s">
        <v>288</v>
      </c>
      <c r="AI7" s="53"/>
      <c r="AK7" s="56">
        <f>G7</f>
        <v>7.73</v>
      </c>
      <c r="AL7" s="53" t="s">
        <v>85</v>
      </c>
      <c r="AM7" s="59"/>
      <c r="AN7" s="60" t="s">
        <v>288</v>
      </c>
      <c r="AO7" s="53"/>
    </row>
    <row r="8" spans="1:42" s="55" customFormat="1" ht="15.75" x14ac:dyDescent="0.25">
      <c r="A8" s="50" t="s">
        <v>205</v>
      </c>
      <c r="B8" s="50"/>
      <c r="C8" s="51" t="s">
        <v>206</v>
      </c>
      <c r="D8" s="50"/>
      <c r="E8" s="51" t="s">
        <v>2</v>
      </c>
      <c r="F8" s="51"/>
      <c r="G8" s="52">
        <v>7.08</v>
      </c>
      <c r="H8" s="53" t="s">
        <v>85</v>
      </c>
      <c r="I8" s="50"/>
      <c r="J8" s="52">
        <v>11.67</v>
      </c>
      <c r="K8" s="50" t="s">
        <v>13</v>
      </c>
      <c r="L8" s="50"/>
      <c r="M8" s="54" t="s">
        <v>199</v>
      </c>
      <c r="N8" s="50" t="s">
        <v>12</v>
      </c>
      <c r="O8" s="50"/>
      <c r="P8" s="52"/>
      <c r="Q8" s="53"/>
      <c r="R8" s="50"/>
      <c r="S8" s="52">
        <f>0.9*2.3</f>
        <v>2.0699999999999998</v>
      </c>
      <c r="T8" s="53" t="s">
        <v>85</v>
      </c>
      <c r="V8" s="56">
        <f>(11.67*2.85)-S8</f>
        <v>31.189500000000002</v>
      </c>
      <c r="W8" s="53" t="s">
        <v>85</v>
      </c>
      <c r="Y8" s="56">
        <f>V8</f>
        <v>31.189500000000002</v>
      </c>
      <c r="Z8" s="53" t="s">
        <v>85</v>
      </c>
      <c r="AB8" s="57" t="s">
        <v>288</v>
      </c>
      <c r="AC8" s="53"/>
      <c r="AD8" s="53"/>
      <c r="AE8" s="58" t="s">
        <v>288</v>
      </c>
      <c r="AF8" s="53"/>
      <c r="AH8" s="57" t="s">
        <v>288</v>
      </c>
      <c r="AI8" s="53"/>
      <c r="AK8" s="56">
        <f>G8</f>
        <v>7.08</v>
      </c>
      <c r="AL8" s="53" t="s">
        <v>85</v>
      </c>
      <c r="AM8" s="59"/>
      <c r="AN8" s="60" t="s">
        <v>288</v>
      </c>
      <c r="AO8" s="53"/>
    </row>
    <row r="9" spans="1:42" s="55" customFormat="1" ht="15.75" x14ac:dyDescent="0.25">
      <c r="A9" s="50" t="s">
        <v>207</v>
      </c>
      <c r="B9" s="50"/>
      <c r="C9" s="51" t="s">
        <v>208</v>
      </c>
      <c r="D9" s="50"/>
      <c r="E9" s="51" t="s">
        <v>2</v>
      </c>
      <c r="F9" s="51"/>
      <c r="G9" s="52">
        <v>20.18</v>
      </c>
      <c r="H9" s="53" t="s">
        <v>85</v>
      </c>
      <c r="I9" s="50"/>
      <c r="J9" s="52">
        <v>17.989999999999998</v>
      </c>
      <c r="K9" s="50" t="s">
        <v>13</v>
      </c>
      <c r="L9" s="50"/>
      <c r="M9" s="54" t="s">
        <v>199</v>
      </c>
      <c r="N9" s="50" t="s">
        <v>12</v>
      </c>
      <c r="O9" s="50"/>
      <c r="P9" s="52">
        <f>1.1*2.3</f>
        <v>2.5299999999999998</v>
      </c>
      <c r="Q9" s="53" t="s">
        <v>85</v>
      </c>
      <c r="R9" s="50"/>
      <c r="S9" s="52">
        <f>(0.9*2.25)</f>
        <v>2.0249999999999999</v>
      </c>
      <c r="T9" s="53" t="s">
        <v>85</v>
      </c>
      <c r="V9" s="56">
        <f>(J9*2.85)-(P9+S9)</f>
        <v>46.716499999999996</v>
      </c>
      <c r="W9" s="53" t="s">
        <v>85</v>
      </c>
      <c r="Y9" s="56">
        <f>V9+(2*2.3+1.1)*0.2</f>
        <v>47.856499999999997</v>
      </c>
      <c r="Z9" s="53" t="s">
        <v>85</v>
      </c>
      <c r="AB9" s="57" t="s">
        <v>288</v>
      </c>
      <c r="AC9" s="53"/>
      <c r="AD9" s="53"/>
      <c r="AE9" s="58" t="s">
        <v>288</v>
      </c>
      <c r="AF9" s="53"/>
      <c r="AH9" s="57" t="s">
        <v>288</v>
      </c>
      <c r="AI9" s="53"/>
      <c r="AK9" s="56">
        <f>G9</f>
        <v>20.18</v>
      </c>
      <c r="AL9" s="53" t="s">
        <v>85</v>
      </c>
      <c r="AM9" s="59"/>
      <c r="AN9" s="60" t="s">
        <v>288</v>
      </c>
      <c r="AO9" s="53"/>
    </row>
    <row r="10" spans="1:42" s="90" customFormat="1" ht="15.75" x14ac:dyDescent="0.25">
      <c r="A10" s="84"/>
      <c r="B10" s="84"/>
      <c r="C10" s="85"/>
      <c r="D10" s="84"/>
      <c r="E10" s="85"/>
      <c r="F10" s="85"/>
      <c r="G10" s="86"/>
      <c r="H10" s="87"/>
      <c r="I10" s="84"/>
      <c r="J10" s="86"/>
      <c r="K10" s="84"/>
      <c r="L10" s="84"/>
      <c r="M10" s="88"/>
      <c r="N10" s="84"/>
      <c r="O10" s="84"/>
      <c r="P10" s="89"/>
      <c r="Q10" s="87"/>
      <c r="R10" s="84"/>
      <c r="S10" s="86"/>
      <c r="T10" s="87"/>
      <c r="V10" s="91"/>
      <c r="W10" s="87"/>
      <c r="Y10" s="91">
        <f>SUM(Y5:Y9)</f>
        <v>166.17124999999999</v>
      </c>
      <c r="Z10" s="87" t="s">
        <v>100</v>
      </c>
      <c r="AB10" s="91">
        <f>SUM(AB5:AB9)</f>
        <v>4.2250000000000005</v>
      </c>
      <c r="AC10" s="87" t="s">
        <v>100</v>
      </c>
      <c r="AD10" s="87"/>
      <c r="AE10" s="92">
        <f>SUM(AE5:AE9)</f>
        <v>16.509999999999998</v>
      </c>
      <c r="AF10" s="87" t="s">
        <v>100</v>
      </c>
      <c r="AH10" s="207">
        <f>SUM(AH5:AH9)</f>
        <v>9.4400000000000013</v>
      </c>
      <c r="AI10" s="87" t="s">
        <v>100</v>
      </c>
      <c r="AK10" s="91">
        <f>SUM(AK5:AK9)</f>
        <v>44.2</v>
      </c>
      <c r="AL10" s="87" t="s">
        <v>100</v>
      </c>
      <c r="AN10" s="93"/>
      <c r="AO10" s="87"/>
    </row>
    <row r="11" spans="1:42" s="79" customFormat="1" x14ac:dyDescent="0.25">
      <c r="A11" s="73"/>
      <c r="B11" s="73"/>
      <c r="C11" s="74"/>
      <c r="D11" s="73"/>
      <c r="E11" s="74"/>
      <c r="F11" s="74"/>
      <c r="G11" s="75"/>
      <c r="H11" s="76"/>
      <c r="I11" s="73"/>
      <c r="J11" s="75"/>
      <c r="K11" s="73"/>
      <c r="L11" s="73"/>
      <c r="M11" s="77"/>
      <c r="N11" s="73"/>
      <c r="O11" s="73"/>
      <c r="P11" s="78"/>
      <c r="Q11" s="76"/>
      <c r="R11" s="73"/>
      <c r="S11" s="75"/>
      <c r="T11" s="76"/>
      <c r="V11" s="80"/>
      <c r="W11" s="76"/>
      <c r="Y11" s="80"/>
      <c r="Z11" s="76"/>
      <c r="AB11" s="80"/>
      <c r="AC11" s="76"/>
      <c r="AD11" s="76"/>
      <c r="AE11" s="81"/>
      <c r="AF11" s="76"/>
      <c r="AH11" s="125"/>
      <c r="AI11" s="76"/>
      <c r="AK11" s="80"/>
      <c r="AL11" s="76"/>
      <c r="AM11" s="82"/>
      <c r="AN11" s="83"/>
      <c r="AO11" s="76"/>
    </row>
    <row r="12" spans="1:42" s="55" customFormat="1" ht="15.75" x14ac:dyDescent="0.25">
      <c r="A12" s="50" t="s">
        <v>210</v>
      </c>
      <c r="B12" s="50"/>
      <c r="C12" s="51" t="s">
        <v>211</v>
      </c>
      <c r="D12" s="50"/>
      <c r="E12" s="51" t="s">
        <v>4</v>
      </c>
      <c r="F12" s="51"/>
      <c r="G12" s="52">
        <v>22.97</v>
      </c>
      <c r="H12" s="53" t="s">
        <v>85</v>
      </c>
      <c r="I12" s="50"/>
      <c r="J12" s="52">
        <v>24.71</v>
      </c>
      <c r="K12" s="50" t="s">
        <v>13</v>
      </c>
      <c r="L12" s="50"/>
      <c r="M12" s="54" t="s">
        <v>212</v>
      </c>
      <c r="N12" s="50" t="s">
        <v>12</v>
      </c>
      <c r="O12" s="50"/>
      <c r="P12" s="52">
        <f>2.4*0.6</f>
        <v>1.44</v>
      </c>
      <c r="Q12" s="53" t="s">
        <v>85</v>
      </c>
      <c r="R12" s="50"/>
      <c r="S12" s="52">
        <f>0.8*2.25</f>
        <v>1.8</v>
      </c>
      <c r="T12" s="53" t="s">
        <v>85</v>
      </c>
      <c r="V12" s="56">
        <f>((9.2+1.45)*3.32+10.6*2.77)-(S12+P12)</f>
        <v>61.48</v>
      </c>
      <c r="W12" s="53" t="s">
        <v>85</v>
      </c>
      <c r="Y12" s="56">
        <f>V12-AE12</f>
        <v>19.287749999999996</v>
      </c>
      <c r="Z12" s="53" t="s">
        <v>85</v>
      </c>
      <c r="AB12" s="138">
        <f>3.44*0.5</f>
        <v>1.72</v>
      </c>
      <c r="AC12" s="53" t="s">
        <v>85</v>
      </c>
      <c r="AD12" s="53"/>
      <c r="AE12" s="208">
        <f>((4.725*2.77+9.2*3.32)-P12)</f>
        <v>42.192250000000001</v>
      </c>
      <c r="AF12" s="53" t="s">
        <v>85</v>
      </c>
      <c r="AH12" s="56">
        <f>G12-(5.97+3.71+AK12)</f>
        <v>11.489999999999998</v>
      </c>
      <c r="AI12" s="53" t="s">
        <v>85</v>
      </c>
      <c r="AK12" s="57">
        <f>0.6*3</f>
        <v>1.7999999999999998</v>
      </c>
      <c r="AL12" s="53"/>
      <c r="AM12" s="59"/>
      <c r="AN12" s="60" t="s">
        <v>288</v>
      </c>
      <c r="AO12" s="53"/>
      <c r="AP12" s="53"/>
    </row>
    <row r="13" spans="1:42" s="55" customFormat="1" ht="15.75" x14ac:dyDescent="0.25">
      <c r="A13" s="50" t="s">
        <v>213</v>
      </c>
      <c r="B13" s="50"/>
      <c r="C13" s="51" t="s">
        <v>214</v>
      </c>
      <c r="D13" s="50"/>
      <c r="E13" s="51" t="s">
        <v>4</v>
      </c>
      <c r="F13" s="51"/>
      <c r="G13" s="52">
        <v>1.44</v>
      </c>
      <c r="H13" s="239" t="s">
        <v>85</v>
      </c>
      <c r="I13" s="50"/>
      <c r="J13" s="52">
        <v>5</v>
      </c>
      <c r="K13" s="50" t="s">
        <v>13</v>
      </c>
      <c r="L13" s="50"/>
      <c r="M13" s="54" t="s">
        <v>215</v>
      </c>
      <c r="N13" s="50" t="s">
        <v>12</v>
      </c>
      <c r="O13" s="50"/>
      <c r="P13" s="61" t="s">
        <v>288</v>
      </c>
      <c r="Q13" s="239"/>
      <c r="R13" s="50"/>
      <c r="S13" s="52">
        <f>S12</f>
        <v>1.8</v>
      </c>
      <c r="T13" s="239" t="s">
        <v>85</v>
      </c>
      <c r="U13" s="240"/>
      <c r="V13" s="241">
        <f>(5.73*3.12)-S13</f>
        <v>16.0776</v>
      </c>
      <c r="W13" s="239" t="s">
        <v>85</v>
      </c>
      <c r="X13" s="240"/>
      <c r="Y13" s="241">
        <f>(2.865*3.12)-S13</f>
        <v>7.1388000000000007</v>
      </c>
      <c r="Z13" s="239" t="s">
        <v>85</v>
      </c>
      <c r="AA13" s="240"/>
      <c r="AB13" s="242">
        <f>2.5*2.4</f>
        <v>6</v>
      </c>
      <c r="AC13" s="239" t="s">
        <v>85</v>
      </c>
      <c r="AD13" s="239"/>
      <c r="AE13" s="243" t="s">
        <v>288</v>
      </c>
      <c r="AF13" s="239"/>
      <c r="AG13" s="240"/>
      <c r="AH13" s="247" t="s">
        <v>288</v>
      </c>
      <c r="AI13" s="239"/>
      <c r="AJ13" s="240"/>
      <c r="AK13" s="244">
        <f>G13</f>
        <v>1.44</v>
      </c>
      <c r="AL13" s="239" t="s">
        <v>85</v>
      </c>
      <c r="AM13" s="240"/>
      <c r="AN13" s="245" t="s">
        <v>288</v>
      </c>
      <c r="AO13" s="239"/>
    </row>
    <row r="14" spans="1:42" s="55" customFormat="1" ht="15.75" x14ac:dyDescent="0.25">
      <c r="A14" s="142" t="s">
        <v>216</v>
      </c>
      <c r="B14" s="142"/>
      <c r="C14" s="141" t="s">
        <v>217</v>
      </c>
      <c r="D14" s="142"/>
      <c r="E14" s="141" t="s">
        <v>4</v>
      </c>
      <c r="F14" s="141"/>
      <c r="G14" s="143">
        <v>83.95</v>
      </c>
      <c r="H14" s="144" t="s">
        <v>85</v>
      </c>
      <c r="I14" s="142"/>
      <c r="J14" s="143">
        <v>41.66</v>
      </c>
      <c r="K14" s="142" t="s">
        <v>13</v>
      </c>
      <c r="L14" s="142"/>
      <c r="M14" s="145" t="s">
        <v>212</v>
      </c>
      <c r="N14" s="142" t="s">
        <v>12</v>
      </c>
      <c r="O14" s="142"/>
      <c r="P14" s="143">
        <f>(3.946*2.45*2)+(1.25*3)+(1.15*1.8)</f>
        <v>25.155400000000004</v>
      </c>
      <c r="Q14" s="144" t="s">
        <v>85</v>
      </c>
      <c r="R14" s="142"/>
      <c r="S14" s="146" t="s">
        <v>288</v>
      </c>
      <c r="T14" s="144"/>
      <c r="U14" s="147"/>
      <c r="V14" s="148">
        <f>(37.05*3.12)-P14</f>
        <v>90.440599999999989</v>
      </c>
      <c r="W14" s="144" t="s">
        <v>85</v>
      </c>
      <c r="X14" s="147"/>
      <c r="Y14" s="148">
        <f>V14+((2*1.8+1.15)*0.2)+((2*3+1.25)*0.2)+((2*2.45+7.792)*0.2)</f>
        <v>95.378999999999991</v>
      </c>
      <c r="Z14" s="144" t="s">
        <v>85</v>
      </c>
      <c r="AA14" s="147"/>
      <c r="AB14" s="149">
        <f>3.438*0.3+4.125*0.3</f>
        <v>2.2689000000000004</v>
      </c>
      <c r="AC14" s="144" t="s">
        <v>85</v>
      </c>
      <c r="AD14" s="144"/>
      <c r="AE14" s="150" t="s">
        <v>288</v>
      </c>
      <c r="AF14" s="144"/>
      <c r="AG14" s="147"/>
      <c r="AH14" s="151" t="s">
        <v>288</v>
      </c>
      <c r="AI14" s="144"/>
      <c r="AJ14" s="147"/>
      <c r="AK14" s="152">
        <f>3.438*1.5+3.16</f>
        <v>8.3170000000000002</v>
      </c>
      <c r="AL14" s="144" t="s">
        <v>85</v>
      </c>
      <c r="AM14" s="147"/>
      <c r="AN14" s="152">
        <f>G14</f>
        <v>83.95</v>
      </c>
      <c r="AO14" s="144" t="s">
        <v>85</v>
      </c>
    </row>
    <row r="15" spans="1:42" s="91" customFormat="1" ht="15.75" x14ac:dyDescent="0.25">
      <c r="A15" s="127"/>
      <c r="B15" s="127"/>
      <c r="C15" s="128"/>
      <c r="D15" s="127"/>
      <c r="E15" s="128"/>
      <c r="F15" s="128"/>
      <c r="G15" s="86"/>
      <c r="H15" s="129"/>
      <c r="I15" s="127"/>
      <c r="J15" s="86"/>
      <c r="K15" s="127"/>
      <c r="L15" s="127"/>
      <c r="M15" s="86"/>
      <c r="N15" s="127"/>
      <c r="O15" s="127"/>
      <c r="P15" s="86"/>
      <c r="Q15" s="129"/>
      <c r="R15" s="127"/>
      <c r="S15" s="86"/>
      <c r="T15" s="129"/>
      <c r="W15" s="129"/>
      <c r="Y15" s="91">
        <f>SUM(Y12:Y14)</f>
        <v>121.80554999999998</v>
      </c>
      <c r="Z15" s="129" t="s">
        <v>100</v>
      </c>
      <c r="AB15" s="139">
        <f>SUM(AB12:AB14)</f>
        <v>9.988900000000001</v>
      </c>
      <c r="AC15" s="129" t="s">
        <v>100</v>
      </c>
      <c r="AD15" s="129"/>
      <c r="AE15" s="130">
        <f>SUM(AE12:AE14)</f>
        <v>42.192250000000001</v>
      </c>
      <c r="AF15" s="129" t="s">
        <v>100</v>
      </c>
      <c r="AH15" s="91">
        <f>SUM(AH12:AH14)</f>
        <v>11.489999999999998</v>
      </c>
      <c r="AI15" s="129" t="s">
        <v>100</v>
      </c>
      <c r="AK15" s="126">
        <f>SUM(AK12:AK14)</f>
        <v>11.557</v>
      </c>
      <c r="AL15" s="129" t="s">
        <v>100</v>
      </c>
      <c r="AN15" s="126">
        <f>SUM(AN12:AN14)</f>
        <v>83.95</v>
      </c>
      <c r="AO15" s="129" t="s">
        <v>100</v>
      </c>
    </row>
    <row r="16" spans="1:42" x14ac:dyDescent="0.25">
      <c r="A16" s="27"/>
      <c r="B16" s="27"/>
      <c r="C16" s="30"/>
      <c r="D16" s="27"/>
      <c r="E16" s="30"/>
      <c r="F16" s="30"/>
      <c r="G16" s="33"/>
      <c r="H16" s="6"/>
      <c r="I16" s="27"/>
      <c r="J16" s="33"/>
      <c r="K16" s="27"/>
      <c r="L16" s="27"/>
      <c r="M16" s="35"/>
      <c r="N16" s="27"/>
      <c r="O16" s="27"/>
      <c r="P16" s="33"/>
      <c r="Q16" s="6"/>
      <c r="R16" s="27"/>
      <c r="S16" s="33"/>
      <c r="T16" s="6"/>
      <c r="W16" s="6"/>
      <c r="Z16" s="6"/>
      <c r="AB16" s="39"/>
      <c r="AC16" s="6"/>
      <c r="AD16" s="6"/>
      <c r="AE16" s="40"/>
      <c r="AF16" s="6"/>
      <c r="AI16" s="6"/>
      <c r="AK16" s="39"/>
      <c r="AL16" s="6"/>
      <c r="AN16" s="38"/>
      <c r="AO16" s="6"/>
    </row>
    <row r="17" spans="1:41" s="59" customFormat="1" ht="15.75" x14ac:dyDescent="0.25">
      <c r="A17" s="234" t="s">
        <v>218</v>
      </c>
      <c r="B17" s="234"/>
      <c r="C17" s="235" t="s">
        <v>219</v>
      </c>
      <c r="D17" s="234"/>
      <c r="E17" s="235" t="s">
        <v>5</v>
      </c>
      <c r="F17" s="235"/>
      <c r="G17" s="236">
        <v>23.38</v>
      </c>
      <c r="H17" s="53" t="s">
        <v>85</v>
      </c>
      <c r="I17" s="234"/>
      <c r="J17" s="236">
        <v>29.6</v>
      </c>
      <c r="K17" s="234" t="s">
        <v>13</v>
      </c>
      <c r="L17" s="234"/>
      <c r="M17" s="237" t="s">
        <v>202</v>
      </c>
      <c r="N17" s="50" t="s">
        <v>12</v>
      </c>
      <c r="O17" s="234"/>
      <c r="P17" s="236">
        <f>1.8*0.9</f>
        <v>1.62</v>
      </c>
      <c r="Q17" s="53" t="s">
        <v>85</v>
      </c>
      <c r="R17" s="234"/>
      <c r="S17" s="236">
        <f>(0.8*2.25*2)+(0.9*2.25*3)</f>
        <v>9.6749999999999989</v>
      </c>
      <c r="T17" s="53" t="s">
        <v>85</v>
      </c>
      <c r="V17" s="238">
        <f>(34.28*2.72)-(P17+S17)</f>
        <v>81.946600000000004</v>
      </c>
      <c r="W17" s="53" t="s">
        <v>85</v>
      </c>
      <c r="Y17" s="238">
        <f>V17-AE17</f>
        <v>45.660679999999999</v>
      </c>
      <c r="Z17" s="53" t="s">
        <v>85</v>
      </c>
      <c r="AB17" s="136" t="s">
        <v>288</v>
      </c>
      <c r="AC17" s="53"/>
      <c r="AD17" s="53"/>
      <c r="AE17" s="208">
        <f>(13.936*2.72)-P17</f>
        <v>36.285920000000004</v>
      </c>
      <c r="AF17" s="53" t="s">
        <v>85</v>
      </c>
      <c r="AH17" s="238">
        <f>G17-(5.97+3.68)</f>
        <v>13.729999999999999</v>
      </c>
      <c r="AI17" s="53" t="s">
        <v>85</v>
      </c>
      <c r="AK17" s="136" t="s">
        <v>288</v>
      </c>
      <c r="AL17" s="53"/>
      <c r="AN17" s="60" t="s">
        <v>288</v>
      </c>
      <c r="AO17" s="53"/>
    </row>
    <row r="18" spans="1:41" s="55" customFormat="1" ht="15.75" x14ac:dyDescent="0.25">
      <c r="A18" s="50" t="s">
        <v>220</v>
      </c>
      <c r="B18" s="50"/>
      <c r="C18" s="51" t="s">
        <v>209</v>
      </c>
      <c r="D18" s="50"/>
      <c r="E18" s="51" t="s">
        <v>5</v>
      </c>
      <c r="F18" s="51"/>
      <c r="G18" s="52">
        <v>2.73</v>
      </c>
      <c r="H18" s="53" t="s">
        <v>85</v>
      </c>
      <c r="I18" s="50"/>
      <c r="J18" s="52">
        <v>7.88</v>
      </c>
      <c r="K18" s="50" t="s">
        <v>13</v>
      </c>
      <c r="L18" s="50"/>
      <c r="M18" s="54" t="s">
        <v>199</v>
      </c>
      <c r="N18" s="50" t="s">
        <v>12</v>
      </c>
      <c r="O18" s="50"/>
      <c r="P18" s="61" t="s">
        <v>288</v>
      </c>
      <c r="Q18" s="53"/>
      <c r="R18" s="50"/>
      <c r="S18" s="52">
        <f>0.8*2.25</f>
        <v>1.8</v>
      </c>
      <c r="T18" s="53" t="s">
        <v>85</v>
      </c>
      <c r="V18" s="56">
        <f>(8.88*2.72)-S18</f>
        <v>22.353600000000004</v>
      </c>
      <c r="W18" s="53" t="s">
        <v>85</v>
      </c>
      <c r="Y18" s="56">
        <f>V18-(0.9*2.72)</f>
        <v>19.905600000000003</v>
      </c>
      <c r="Z18" s="53" t="s">
        <v>85</v>
      </c>
      <c r="AB18" s="138">
        <f>0.9*2.3</f>
        <v>2.0699999999999998</v>
      </c>
      <c r="AC18" s="53" t="s">
        <v>85</v>
      </c>
      <c r="AD18" s="53"/>
      <c r="AE18" s="58" t="s">
        <v>288</v>
      </c>
      <c r="AF18" s="53"/>
      <c r="AH18" s="57" t="s">
        <v>288</v>
      </c>
      <c r="AI18" s="53"/>
      <c r="AK18" s="94">
        <f>G18</f>
        <v>2.73</v>
      </c>
      <c r="AL18" s="53" t="s">
        <v>85</v>
      </c>
      <c r="AN18" s="60" t="s">
        <v>288</v>
      </c>
      <c r="AO18" s="53"/>
    </row>
    <row r="19" spans="1:41" s="55" customFormat="1" ht="15.75" x14ac:dyDescent="0.25">
      <c r="A19" s="50" t="s">
        <v>221</v>
      </c>
      <c r="B19" s="50"/>
      <c r="C19" s="51" t="s">
        <v>209</v>
      </c>
      <c r="D19" s="50"/>
      <c r="E19" s="51" t="s">
        <v>5</v>
      </c>
      <c r="F19" s="51"/>
      <c r="G19" s="52">
        <v>8.49</v>
      </c>
      <c r="H19" s="53" t="s">
        <v>85</v>
      </c>
      <c r="I19" s="50"/>
      <c r="J19" s="52">
        <v>11.88</v>
      </c>
      <c r="K19" s="50" t="s">
        <v>13</v>
      </c>
      <c r="L19" s="50"/>
      <c r="M19" s="54" t="s">
        <v>199</v>
      </c>
      <c r="N19" s="50" t="s">
        <v>12</v>
      </c>
      <c r="O19" s="50"/>
      <c r="P19" s="52">
        <f>0.9*1.4</f>
        <v>1.26</v>
      </c>
      <c r="Q19" s="53" t="s">
        <v>85</v>
      </c>
      <c r="R19" s="50"/>
      <c r="S19" s="52">
        <f>0.8*2.25</f>
        <v>1.8</v>
      </c>
      <c r="T19" s="53" t="s">
        <v>85</v>
      </c>
      <c r="V19" s="56">
        <f>(11.88*2.72)-(P19+S19)</f>
        <v>29.253600000000002</v>
      </c>
      <c r="W19" s="53" t="s">
        <v>85</v>
      </c>
      <c r="Y19" s="56">
        <f>V19-(0.875*2.72)+((1.4*2+0.9)*0.2)</f>
        <v>27.613600000000002</v>
      </c>
      <c r="Z19" s="53" t="s">
        <v>85</v>
      </c>
      <c r="AB19" s="138">
        <f>0.875*2.3</f>
        <v>2.0124999999999997</v>
      </c>
      <c r="AC19" s="53" t="s">
        <v>85</v>
      </c>
      <c r="AD19" s="53"/>
      <c r="AE19" s="58" t="s">
        <v>288</v>
      </c>
      <c r="AF19" s="53"/>
      <c r="AH19" s="57" t="s">
        <v>288</v>
      </c>
      <c r="AI19" s="53"/>
      <c r="AK19" s="94">
        <f>G19</f>
        <v>8.49</v>
      </c>
      <c r="AL19" s="53" t="s">
        <v>85</v>
      </c>
      <c r="AN19" s="60" t="s">
        <v>288</v>
      </c>
      <c r="AO19" s="53"/>
    </row>
    <row r="20" spans="1:41" s="55" customFormat="1" ht="15.75" x14ac:dyDescent="0.25">
      <c r="A20" s="50" t="s">
        <v>222</v>
      </c>
      <c r="B20" s="50"/>
      <c r="C20" s="51" t="s">
        <v>223</v>
      </c>
      <c r="D20" s="50"/>
      <c r="E20" s="51" t="s">
        <v>5</v>
      </c>
      <c r="F20" s="51"/>
      <c r="G20" s="52">
        <v>20.03</v>
      </c>
      <c r="H20" s="53" t="s">
        <v>85</v>
      </c>
      <c r="I20" s="50"/>
      <c r="J20" s="52">
        <v>18.399999999999999</v>
      </c>
      <c r="K20" s="50" t="s">
        <v>13</v>
      </c>
      <c r="L20" s="50"/>
      <c r="M20" s="54" t="s">
        <v>202</v>
      </c>
      <c r="N20" s="50" t="s">
        <v>12</v>
      </c>
      <c r="O20" s="50"/>
      <c r="P20" s="52">
        <f>1.8*1.8</f>
        <v>3.24</v>
      </c>
      <c r="Q20" s="53" t="s">
        <v>85</v>
      </c>
      <c r="R20" s="50"/>
      <c r="S20" s="52">
        <f>0.9*2.25</f>
        <v>2.0249999999999999</v>
      </c>
      <c r="T20" s="53" t="s">
        <v>85</v>
      </c>
      <c r="V20" s="56">
        <f>(J20*2.72)-(P20+S20)</f>
        <v>44.783000000000001</v>
      </c>
      <c r="W20" s="53" t="s">
        <v>85</v>
      </c>
      <c r="Y20" s="56">
        <f>V20+(1.8*3*0.2)</f>
        <v>45.863</v>
      </c>
      <c r="Z20" s="53" t="s">
        <v>85</v>
      </c>
      <c r="AB20" s="138">
        <f>3.539*0.3</f>
        <v>1.0617000000000001</v>
      </c>
      <c r="AC20" s="53" t="s">
        <v>85</v>
      </c>
      <c r="AD20" s="53"/>
      <c r="AE20" s="58" t="s">
        <v>288</v>
      </c>
      <c r="AF20" s="53"/>
      <c r="AH20" s="56">
        <f>G20</f>
        <v>20.03</v>
      </c>
      <c r="AI20" s="53" t="s">
        <v>85</v>
      </c>
      <c r="AK20" s="94">
        <f>3.539*0.6</f>
        <v>2.1234000000000002</v>
      </c>
      <c r="AL20" s="53" t="s">
        <v>85</v>
      </c>
      <c r="AN20" s="60" t="s">
        <v>288</v>
      </c>
      <c r="AO20" s="53"/>
    </row>
    <row r="21" spans="1:41" s="55" customFormat="1" ht="15.75" x14ac:dyDescent="0.25">
      <c r="A21" s="50" t="s">
        <v>224</v>
      </c>
      <c r="B21" s="50"/>
      <c r="C21" s="51" t="s">
        <v>223</v>
      </c>
      <c r="D21" s="50"/>
      <c r="E21" s="51" t="s">
        <v>5</v>
      </c>
      <c r="F21" s="51"/>
      <c r="G21" s="52">
        <v>18.98</v>
      </c>
      <c r="H21" s="53" t="s">
        <v>85</v>
      </c>
      <c r="I21" s="50"/>
      <c r="J21" s="52">
        <v>17.82</v>
      </c>
      <c r="K21" s="50" t="s">
        <v>13</v>
      </c>
      <c r="L21" s="50"/>
      <c r="M21" s="54" t="s">
        <v>202</v>
      </c>
      <c r="N21" s="50" t="s">
        <v>12</v>
      </c>
      <c r="O21" s="50"/>
      <c r="P21" s="52">
        <f>3.3*1.2</f>
        <v>3.9599999999999995</v>
      </c>
      <c r="Q21" s="53" t="s">
        <v>85</v>
      </c>
      <c r="R21" s="50"/>
      <c r="S21" s="52">
        <f>0.9*2.25</f>
        <v>2.0249999999999999</v>
      </c>
      <c r="T21" s="53" t="s">
        <v>85</v>
      </c>
      <c r="V21" s="56">
        <f>(J21*2.72)-(P21+S21)</f>
        <v>42.485400000000006</v>
      </c>
      <c r="W21" s="53" t="s">
        <v>85</v>
      </c>
      <c r="Y21" s="238">
        <f>V21+(1.2*2+3.3)*0.2</f>
        <v>43.625400000000006</v>
      </c>
      <c r="Z21" s="53" t="s">
        <v>85</v>
      </c>
      <c r="AB21" s="138">
        <f>3.115*0.3</f>
        <v>0.9345</v>
      </c>
      <c r="AC21" s="53" t="s">
        <v>85</v>
      </c>
      <c r="AD21" s="53"/>
      <c r="AE21" s="58" t="s">
        <v>288</v>
      </c>
      <c r="AF21" s="53"/>
      <c r="AH21" s="56">
        <f>G21</f>
        <v>18.98</v>
      </c>
      <c r="AI21" s="53" t="s">
        <v>85</v>
      </c>
      <c r="AK21" s="94">
        <f>3.115*0.6</f>
        <v>1.869</v>
      </c>
      <c r="AL21" s="53" t="s">
        <v>85</v>
      </c>
      <c r="AN21" s="60" t="s">
        <v>288</v>
      </c>
      <c r="AO21" s="53"/>
    </row>
    <row r="22" spans="1:41" s="55" customFormat="1" ht="15.75" x14ac:dyDescent="0.25">
      <c r="A22" s="50" t="s">
        <v>225</v>
      </c>
      <c r="B22" s="50"/>
      <c r="C22" s="51" t="s">
        <v>226</v>
      </c>
      <c r="D22" s="50"/>
      <c r="E22" s="51" t="s">
        <v>5</v>
      </c>
      <c r="F22" s="51"/>
      <c r="G22" s="52">
        <v>20.47</v>
      </c>
      <c r="H22" s="239" t="s">
        <v>85</v>
      </c>
      <c r="I22" s="50"/>
      <c r="J22" s="52">
        <v>18.100000000000001</v>
      </c>
      <c r="K22" s="50" t="s">
        <v>13</v>
      </c>
      <c r="L22" s="50"/>
      <c r="M22" s="54" t="s">
        <v>202</v>
      </c>
      <c r="N22" s="50" t="s">
        <v>12</v>
      </c>
      <c r="O22" s="50"/>
      <c r="P22" s="52">
        <f>1.8*1.8</f>
        <v>3.24</v>
      </c>
      <c r="Q22" s="239" t="s">
        <v>85</v>
      </c>
      <c r="R22" s="50"/>
      <c r="S22" s="52">
        <f>0.9*2.25</f>
        <v>2.0249999999999999</v>
      </c>
      <c r="T22" s="239" t="s">
        <v>85</v>
      </c>
      <c r="U22" s="240"/>
      <c r="V22" s="241">
        <f>(18.22*2.72)-(P22+S22)</f>
        <v>44.293399999999998</v>
      </c>
      <c r="W22" s="239" t="s">
        <v>85</v>
      </c>
      <c r="X22" s="240"/>
      <c r="Y22" s="241">
        <f>V22-(4.609*2.72)+((1.8*3)*0.2)</f>
        <v>32.836919999999999</v>
      </c>
      <c r="Z22" s="239" t="s">
        <v>85</v>
      </c>
      <c r="AA22" s="240"/>
      <c r="AB22" s="242">
        <f>((4.609*2.6)-S22)+(4.609*0.3)</f>
        <v>11.341099999999999</v>
      </c>
      <c r="AC22" s="239" t="s">
        <v>85</v>
      </c>
      <c r="AD22" s="239"/>
      <c r="AE22" s="243" t="s">
        <v>288</v>
      </c>
      <c r="AF22" s="239"/>
      <c r="AG22" s="240"/>
      <c r="AH22" s="241">
        <f>G22</f>
        <v>20.47</v>
      </c>
      <c r="AI22" s="239" t="s">
        <v>85</v>
      </c>
      <c r="AJ22" s="240"/>
      <c r="AK22" s="244">
        <f>4.609*0.6</f>
        <v>2.7654000000000001</v>
      </c>
      <c r="AL22" s="239" t="s">
        <v>85</v>
      </c>
      <c r="AM22" s="240"/>
      <c r="AN22" s="245" t="s">
        <v>288</v>
      </c>
      <c r="AO22" s="53"/>
    </row>
    <row r="23" spans="1:41" s="55" customFormat="1" ht="15.75" x14ac:dyDescent="0.25">
      <c r="A23" s="142"/>
      <c r="B23" s="142"/>
      <c r="C23" s="141" t="s">
        <v>384</v>
      </c>
      <c r="D23" s="142"/>
      <c r="E23" s="141" t="s">
        <v>5</v>
      </c>
      <c r="F23" s="141"/>
      <c r="G23" s="143">
        <v>6.11</v>
      </c>
      <c r="H23" s="144" t="s">
        <v>85</v>
      </c>
      <c r="I23" s="142"/>
      <c r="J23" s="143">
        <v>11.776</v>
      </c>
      <c r="K23" s="142" t="s">
        <v>13</v>
      </c>
      <c r="L23" s="142"/>
      <c r="M23" s="246">
        <v>3120</v>
      </c>
      <c r="N23" s="142" t="s">
        <v>12</v>
      </c>
      <c r="O23" s="142"/>
      <c r="P23" s="143">
        <f>(0.9*0.9)+(0.6*0.6)+(1.2*1.2)</f>
        <v>2.61</v>
      </c>
      <c r="Q23" s="144" t="s">
        <v>85</v>
      </c>
      <c r="R23" s="142"/>
      <c r="S23" s="143" t="s">
        <v>288</v>
      </c>
      <c r="T23" s="144"/>
      <c r="U23" s="147"/>
      <c r="V23" s="148">
        <f>J23*3.12-(P23)</f>
        <v>34.131120000000003</v>
      </c>
      <c r="W23" s="144" t="s">
        <v>85</v>
      </c>
      <c r="X23" s="147"/>
      <c r="Y23" s="148">
        <f>V23+((1.2*3)+(0.6*3)+(0.9*3))*0.2</f>
        <v>35.75112</v>
      </c>
      <c r="Z23" s="144" t="s">
        <v>85</v>
      </c>
      <c r="AA23" s="147"/>
      <c r="AB23" s="251" t="s">
        <v>288</v>
      </c>
      <c r="AC23" s="144"/>
      <c r="AD23" s="144"/>
      <c r="AE23" s="150" t="s">
        <v>288</v>
      </c>
      <c r="AF23" s="144"/>
      <c r="AG23" s="147"/>
      <c r="AH23" s="151" t="s">
        <v>288</v>
      </c>
      <c r="AI23" s="144"/>
      <c r="AJ23" s="147"/>
      <c r="AK23" s="152">
        <f>G23</f>
        <v>6.11</v>
      </c>
      <c r="AL23" s="144" t="s">
        <v>85</v>
      </c>
      <c r="AM23" s="147"/>
      <c r="AN23" s="153"/>
      <c r="AO23" s="53"/>
    </row>
    <row r="24" spans="1:41" s="90" customFormat="1" ht="15.75" x14ac:dyDescent="0.25">
      <c r="A24" s="84"/>
      <c r="B24" s="84"/>
      <c r="C24" s="85"/>
      <c r="D24" s="84"/>
      <c r="E24" s="85"/>
      <c r="F24" s="85"/>
      <c r="G24" s="86"/>
      <c r="H24" s="87"/>
      <c r="I24" s="84"/>
      <c r="J24" s="86"/>
      <c r="K24" s="84"/>
      <c r="L24" s="84"/>
      <c r="M24" s="88"/>
      <c r="N24" s="84"/>
      <c r="O24" s="84"/>
      <c r="P24" s="86"/>
      <c r="Q24" s="87"/>
      <c r="R24" s="84"/>
      <c r="S24" s="86"/>
      <c r="T24" s="87"/>
      <c r="V24" s="91"/>
      <c r="W24" s="87"/>
      <c r="Y24" s="91">
        <f>SUM(Y17:Y23)</f>
        <v>251.25632000000002</v>
      </c>
      <c r="Z24" s="129" t="s">
        <v>100</v>
      </c>
      <c r="AB24" s="139">
        <f>SUM(AB17:AB22)</f>
        <v>17.419799999999999</v>
      </c>
      <c r="AC24" s="129" t="s">
        <v>100</v>
      </c>
      <c r="AD24" s="87"/>
      <c r="AE24" s="130">
        <f>SUM(AE17:AE23)</f>
        <v>36.285920000000004</v>
      </c>
      <c r="AF24" s="129" t="s">
        <v>100</v>
      </c>
      <c r="AH24" s="91">
        <f>SUM(AH17:AH22)</f>
        <v>73.209999999999994</v>
      </c>
      <c r="AI24" s="129" t="s">
        <v>100</v>
      </c>
      <c r="AK24" s="126">
        <f>SUM(AK17:AK23)</f>
        <v>24.087800000000001</v>
      </c>
      <c r="AL24" s="129" t="s">
        <v>100</v>
      </c>
      <c r="AN24" s="93"/>
      <c r="AO24" s="87"/>
    </row>
    <row r="25" spans="1:41" x14ac:dyDescent="0.25">
      <c r="A25" s="27"/>
      <c r="B25" s="27"/>
      <c r="C25" s="30"/>
      <c r="D25" s="27"/>
      <c r="E25" s="30"/>
      <c r="F25" s="30"/>
      <c r="G25" s="33"/>
      <c r="H25" s="6"/>
      <c r="I25" s="27"/>
      <c r="J25" s="33"/>
      <c r="K25" s="27"/>
      <c r="L25" s="27"/>
      <c r="M25" s="35"/>
      <c r="N25" s="27"/>
      <c r="O25" s="27"/>
      <c r="P25" s="33"/>
      <c r="Q25" s="6"/>
      <c r="R25" s="27"/>
      <c r="S25" s="33"/>
      <c r="T25" s="6"/>
      <c r="W25" s="6"/>
      <c r="Z25" s="6"/>
      <c r="AB25" s="39"/>
      <c r="AC25" s="6"/>
      <c r="AD25" s="6"/>
      <c r="AE25" s="40"/>
      <c r="AF25" s="6"/>
      <c r="AI25" s="6"/>
      <c r="AK25" s="39"/>
      <c r="AL25" s="6"/>
      <c r="AN25" s="38"/>
      <c r="AO25" s="6"/>
    </row>
    <row r="26" spans="1:41" s="55" customFormat="1" ht="15.75" x14ac:dyDescent="0.25">
      <c r="A26" s="50" t="s">
        <v>227</v>
      </c>
      <c r="B26" s="50"/>
      <c r="C26" s="51" t="s">
        <v>219</v>
      </c>
      <c r="D26" s="50"/>
      <c r="E26" s="51" t="s">
        <v>48</v>
      </c>
      <c r="F26" s="51"/>
      <c r="G26" s="52">
        <v>20.76</v>
      </c>
      <c r="H26" s="53" t="s">
        <v>85</v>
      </c>
      <c r="I26" s="50"/>
      <c r="J26" s="52">
        <v>29.18</v>
      </c>
      <c r="K26" s="50" t="s">
        <v>13</v>
      </c>
      <c r="L26" s="50"/>
      <c r="M26" s="54" t="s">
        <v>63</v>
      </c>
      <c r="N26" s="50" t="s">
        <v>12</v>
      </c>
      <c r="O26" s="50"/>
      <c r="P26" s="61">
        <f>(1.14*1.398*2)</f>
        <v>3.1874399999999996</v>
      </c>
      <c r="Q26" s="53" t="s">
        <v>85</v>
      </c>
      <c r="R26" s="50"/>
      <c r="S26" s="52">
        <f>(0.8*2.25*2)+(0.9*2.25*2)</f>
        <v>7.65</v>
      </c>
      <c r="T26" s="53" t="s">
        <v>85</v>
      </c>
      <c r="V26" s="56">
        <f>((13.04*2.52)+(19.5-(1.1*2.4))+19.17+(0.39*(3.075+1.41)))-(S26)</f>
        <v>62.98995</v>
      </c>
      <c r="W26" s="53" t="s">
        <v>85</v>
      </c>
      <c r="Y26" s="56">
        <f>V26-(AB26+AE26)</f>
        <v>37.030799999999999</v>
      </c>
      <c r="Z26" s="53" t="s">
        <v>85</v>
      </c>
      <c r="AB26" s="138">
        <f>(0.39*(1.41+3.075))+(0.5*(1.14*2+1.38*2)*2)</f>
        <v>6.7891499999999994</v>
      </c>
      <c r="AC26" s="53" t="s">
        <v>85</v>
      </c>
      <c r="AD26" s="53"/>
      <c r="AE26" s="58">
        <f>19.17</f>
        <v>19.170000000000002</v>
      </c>
      <c r="AF26" s="53" t="s">
        <v>85</v>
      </c>
      <c r="AH26" s="57" t="s">
        <v>288</v>
      </c>
      <c r="AI26" s="53"/>
      <c r="AK26" s="94">
        <f>(6.98+6.57)+((4.05*(1.6885+2.7905))-P26)</f>
        <v>28.502510000000001</v>
      </c>
      <c r="AL26" s="53" t="s">
        <v>85</v>
      </c>
      <c r="AN26" s="60" t="s">
        <v>288</v>
      </c>
      <c r="AO26" s="53"/>
    </row>
    <row r="27" spans="1:41" s="55" customFormat="1" ht="15.75" x14ac:dyDescent="0.25">
      <c r="A27" s="50" t="s">
        <v>228</v>
      </c>
      <c r="B27" s="50"/>
      <c r="C27" s="51" t="s">
        <v>209</v>
      </c>
      <c r="D27" s="50"/>
      <c r="E27" s="51" t="s">
        <v>48</v>
      </c>
      <c r="F27" s="51"/>
      <c r="G27" s="52">
        <v>8.81</v>
      </c>
      <c r="H27" s="53" t="s">
        <v>85</v>
      </c>
      <c r="I27" s="50"/>
      <c r="J27" s="52">
        <v>12.11</v>
      </c>
      <c r="K27" s="50" t="s">
        <v>13</v>
      </c>
      <c r="L27" s="50"/>
      <c r="M27" s="54" t="s">
        <v>215</v>
      </c>
      <c r="N27" s="50" t="s">
        <v>12</v>
      </c>
      <c r="O27" s="50"/>
      <c r="P27" s="52">
        <f>0.942*0.978</f>
        <v>0.92127599999999998</v>
      </c>
      <c r="Q27" s="53" t="s">
        <v>85</v>
      </c>
      <c r="R27" s="50"/>
      <c r="S27" s="52">
        <f>0.8*2.25</f>
        <v>1.8</v>
      </c>
      <c r="T27" s="53" t="s">
        <v>85</v>
      </c>
      <c r="V27" s="56">
        <f>(3.621*(2.52+1.42))+(2*5.06)-S27</f>
        <v>22.586739999999999</v>
      </c>
      <c r="W27" s="53" t="s">
        <v>85</v>
      </c>
      <c r="Y27" s="56">
        <f>V27-((1.42*3.621)+2.78)</f>
        <v>14.664919999999999</v>
      </c>
      <c r="Z27" s="53" t="s">
        <v>85</v>
      </c>
      <c r="AB27" s="140">
        <f>(1.3*3.621)+2.61+(0.5*(0.978*2+0.942*2))</f>
        <v>9.2372999999999994</v>
      </c>
      <c r="AC27" s="53" t="s">
        <v>85</v>
      </c>
      <c r="AD27" s="53"/>
      <c r="AE27" s="58" t="s">
        <v>288</v>
      </c>
      <c r="AF27" s="53"/>
      <c r="AH27" s="57" t="s">
        <v>288</v>
      </c>
      <c r="AI27" s="53"/>
      <c r="AK27" s="94">
        <f>(3.7+(3.621*1.792))-P27</f>
        <v>9.2675560000000008</v>
      </c>
      <c r="AL27" s="53" t="s">
        <v>85</v>
      </c>
      <c r="AN27" s="60" t="s">
        <v>288</v>
      </c>
      <c r="AO27" s="53"/>
    </row>
    <row r="28" spans="1:41" s="55" customFormat="1" ht="15.75" x14ac:dyDescent="0.25">
      <c r="A28" s="50" t="s">
        <v>229</v>
      </c>
      <c r="B28" s="50"/>
      <c r="C28" s="51" t="s">
        <v>231</v>
      </c>
      <c r="D28" s="50"/>
      <c r="E28" s="51" t="s">
        <v>48</v>
      </c>
      <c r="F28" s="51"/>
      <c r="G28" s="52">
        <v>5.24</v>
      </c>
      <c r="H28" s="53" t="s">
        <v>85</v>
      </c>
      <c r="I28" s="50"/>
      <c r="J28" s="52">
        <v>9.2200000000000006</v>
      </c>
      <c r="K28" s="50" t="s">
        <v>13</v>
      </c>
      <c r="L28" s="50"/>
      <c r="M28" s="54" t="s">
        <v>215</v>
      </c>
      <c r="N28" s="50" t="s">
        <v>12</v>
      </c>
      <c r="O28" s="50"/>
      <c r="P28" s="61" t="s">
        <v>288</v>
      </c>
      <c r="Q28" s="53" t="s">
        <v>85</v>
      </c>
      <c r="R28" s="50"/>
      <c r="S28" s="52">
        <f>0.8*2.25</f>
        <v>1.8</v>
      </c>
      <c r="T28" s="53" t="s">
        <v>85</v>
      </c>
      <c r="V28" s="56">
        <f>(2.05*(2.52+1.32))+(2*5.26)-S28</f>
        <v>16.591999999999999</v>
      </c>
      <c r="W28" s="53" t="s">
        <v>85</v>
      </c>
      <c r="Y28" s="56">
        <f>V28-(2.05*1.32)</f>
        <v>13.885999999999999</v>
      </c>
      <c r="Z28" s="53" t="s">
        <v>85</v>
      </c>
      <c r="AB28" s="138">
        <f>(1.2*2.05)</f>
        <v>2.4599999999999995</v>
      </c>
      <c r="AC28" s="53" t="s">
        <v>85</v>
      </c>
      <c r="AD28" s="53"/>
      <c r="AE28" s="58" t="s">
        <v>288</v>
      </c>
      <c r="AF28" s="53"/>
      <c r="AH28" s="57" t="s">
        <v>288</v>
      </c>
      <c r="AI28" s="53"/>
      <c r="AK28" s="94">
        <f>(2.1+(2.05*1.949))</f>
        <v>6.0954499999999996</v>
      </c>
      <c r="AL28" s="53" t="s">
        <v>85</v>
      </c>
      <c r="AN28" s="60" t="s">
        <v>288</v>
      </c>
      <c r="AO28" s="53"/>
    </row>
    <row r="29" spans="1:41" s="55" customFormat="1" ht="15.75" x14ac:dyDescent="0.25">
      <c r="A29" s="50" t="s">
        <v>230</v>
      </c>
      <c r="B29" s="50"/>
      <c r="C29" s="254" t="s">
        <v>233</v>
      </c>
      <c r="D29" s="50"/>
      <c r="E29" s="51" t="s">
        <v>48</v>
      </c>
      <c r="F29" s="51"/>
      <c r="G29" s="52">
        <v>30.34</v>
      </c>
      <c r="H29" s="53" t="s">
        <v>85</v>
      </c>
      <c r="I29" s="50"/>
      <c r="J29" s="52">
        <v>25.497</v>
      </c>
      <c r="K29" s="50" t="s">
        <v>13</v>
      </c>
      <c r="L29" s="50"/>
      <c r="M29" s="54" t="s">
        <v>288</v>
      </c>
      <c r="N29" s="50" t="s">
        <v>12</v>
      </c>
      <c r="O29" s="50"/>
      <c r="P29" s="61">
        <f>(1.14*1.398*2)+(1.8*1.8)</f>
        <v>6.4274399999999998</v>
      </c>
      <c r="Q29" s="53" t="s">
        <v>85</v>
      </c>
      <c r="R29" s="50"/>
      <c r="S29" s="52">
        <f>0.9*2.25</f>
        <v>2.0249999999999999</v>
      </c>
      <c r="T29" s="53" t="s">
        <v>85</v>
      </c>
      <c r="U29" s="59"/>
      <c r="V29" s="238">
        <f>(2*23.24)+(2*0.55*3.298)-((1.8*1.8)+S29)</f>
        <v>44.842799999999997</v>
      </c>
      <c r="W29" s="53" t="s">
        <v>85</v>
      </c>
      <c r="X29" s="59"/>
      <c r="Y29" s="238">
        <f>(23.24-(1.8*1.8))+(2*0.39*3.3)</f>
        <v>22.573999999999998</v>
      </c>
      <c r="Z29" s="53" t="s">
        <v>85</v>
      </c>
      <c r="AA29" s="59"/>
      <c r="AB29" s="248">
        <f>(23.24-(0.9*2.25))+(2*3.3*0.16)</f>
        <v>22.271000000000001</v>
      </c>
      <c r="AC29" s="53" t="s">
        <v>85</v>
      </c>
      <c r="AD29" s="53"/>
      <c r="AE29" s="58" t="s">
        <v>288</v>
      </c>
      <c r="AF29" s="53"/>
      <c r="AG29" s="59"/>
      <c r="AH29" s="57" t="s">
        <v>288</v>
      </c>
      <c r="AI29" s="53"/>
      <c r="AJ29" s="59"/>
      <c r="AK29" s="136">
        <f>(3.166*2*3.746)-(2*1.14*1.398)+(0.5*(2*1.14+2*1.398)*2)</f>
        <v>25.608232000000001</v>
      </c>
      <c r="AL29" s="53" t="s">
        <v>85</v>
      </c>
      <c r="AM29" s="59"/>
      <c r="AN29" s="60" t="s">
        <v>288</v>
      </c>
      <c r="AO29" s="53"/>
    </row>
    <row r="30" spans="1:41" s="55" customFormat="1" ht="15.75" x14ac:dyDescent="0.25">
      <c r="A30" s="142" t="s">
        <v>232</v>
      </c>
      <c r="B30" s="142"/>
      <c r="C30" s="141" t="s">
        <v>234</v>
      </c>
      <c r="D30" s="142"/>
      <c r="E30" s="141" t="s">
        <v>48</v>
      </c>
      <c r="F30" s="141"/>
      <c r="G30" s="143">
        <v>21.31</v>
      </c>
      <c r="H30" s="144" t="s">
        <v>85</v>
      </c>
      <c r="I30" s="142"/>
      <c r="J30" s="143">
        <v>19</v>
      </c>
      <c r="K30" s="142" t="s">
        <v>13</v>
      </c>
      <c r="L30" s="142"/>
      <c r="M30" s="145" t="s">
        <v>202</v>
      </c>
      <c r="N30" s="142" t="s">
        <v>12</v>
      </c>
      <c r="O30" s="142"/>
      <c r="P30" s="146">
        <f>(1.14*1.398*2)</f>
        <v>3.1874399999999996</v>
      </c>
      <c r="Q30" s="144" t="s">
        <v>85</v>
      </c>
      <c r="R30" s="142"/>
      <c r="S30" s="143">
        <f>0.9*2.25</f>
        <v>2.0249999999999999</v>
      </c>
      <c r="T30" s="144" t="s">
        <v>85</v>
      </c>
      <c r="U30" s="154"/>
      <c r="V30" s="249">
        <f>(2*8.93)+(5.771*(2.72+1.32))-S30</f>
        <v>39.149840000000005</v>
      </c>
      <c r="W30" s="144" t="s">
        <v>85</v>
      </c>
      <c r="X30" s="154"/>
      <c r="Y30" s="249">
        <f>V30-((5.771*1.32)+8.93)</f>
        <v>22.602120000000006</v>
      </c>
      <c r="Z30" s="144" t="s">
        <v>85</v>
      </c>
      <c r="AA30" s="154"/>
      <c r="AB30" s="250">
        <f>8.44+(1.2*5.711)</f>
        <v>15.293199999999999</v>
      </c>
      <c r="AC30" s="144" t="s">
        <v>85</v>
      </c>
      <c r="AD30" s="144"/>
      <c r="AE30" s="150" t="s">
        <v>288</v>
      </c>
      <c r="AF30" s="144"/>
      <c r="AG30" s="154"/>
      <c r="AH30" s="151" t="s">
        <v>288</v>
      </c>
      <c r="AI30" s="144"/>
      <c r="AJ30" s="154"/>
      <c r="AK30" s="251">
        <f>(11.06+(5.711*2.274))-P30+((2*0.5*1.398)+(2*0.5*2.38))</f>
        <v>24.637374000000001</v>
      </c>
      <c r="AL30" s="144" t="s">
        <v>85</v>
      </c>
      <c r="AM30" s="154"/>
      <c r="AN30" s="153" t="s">
        <v>288</v>
      </c>
      <c r="AO30" s="53"/>
    </row>
    <row r="31" spans="1:41" s="90" customFormat="1" ht="15.75" x14ac:dyDescent="0.25">
      <c r="A31" s="84"/>
      <c r="B31" s="84"/>
      <c r="C31" s="85"/>
      <c r="D31" s="84"/>
      <c r="E31" s="85"/>
      <c r="F31" s="85"/>
      <c r="G31" s="86"/>
      <c r="H31" s="87"/>
      <c r="I31" s="84"/>
      <c r="J31" s="86"/>
      <c r="K31" s="84"/>
      <c r="L31" s="84"/>
      <c r="M31" s="88"/>
      <c r="N31" s="84"/>
      <c r="O31" s="84"/>
      <c r="P31" s="86"/>
      <c r="Q31" s="87"/>
      <c r="R31" s="84"/>
      <c r="S31" s="86"/>
      <c r="T31" s="87"/>
      <c r="V31" s="91"/>
      <c r="W31" s="87"/>
      <c r="Y31" s="91">
        <f>SUM(Y26:Y30)</f>
        <v>110.75783999999999</v>
      </c>
      <c r="Z31" s="129" t="s">
        <v>100</v>
      </c>
      <c r="AB31" s="139">
        <f>SUM(AB26:AB30)</f>
        <v>56.050649999999997</v>
      </c>
      <c r="AC31" s="129" t="s">
        <v>100</v>
      </c>
      <c r="AD31" s="87"/>
      <c r="AE31" s="92">
        <f>SUM(AE26:AE30)</f>
        <v>19.170000000000002</v>
      </c>
      <c r="AF31" s="129" t="s">
        <v>100</v>
      </c>
      <c r="AH31" s="91"/>
      <c r="AI31" s="129"/>
      <c r="AK31" s="126">
        <f>SUM(AK26:AK30)</f>
        <v>94.111121999999995</v>
      </c>
      <c r="AL31" s="129" t="s">
        <v>100</v>
      </c>
      <c r="AN31" s="93"/>
      <c r="AO31" s="87"/>
    </row>
    <row r="32" spans="1:41" x14ac:dyDescent="0.25">
      <c r="A32" s="27"/>
      <c r="B32" s="27"/>
      <c r="C32" s="30"/>
      <c r="D32" s="27"/>
      <c r="E32" s="30"/>
      <c r="F32" s="30"/>
      <c r="G32" s="33"/>
      <c r="H32" s="6"/>
      <c r="I32" s="27"/>
      <c r="J32" s="33"/>
      <c r="K32" s="27"/>
      <c r="L32" s="27"/>
      <c r="M32" s="35"/>
      <c r="N32" s="27"/>
      <c r="O32" s="27"/>
      <c r="P32" s="33"/>
      <c r="Q32" s="6"/>
      <c r="R32" s="27"/>
      <c r="S32" s="33"/>
      <c r="T32" s="6"/>
      <c r="W32" s="6"/>
      <c r="Z32" s="6"/>
      <c r="AB32" s="39"/>
      <c r="AC32" s="6"/>
      <c r="AD32" s="6"/>
      <c r="AE32" s="40"/>
      <c r="AF32" s="6"/>
      <c r="AI32" s="6"/>
      <c r="AK32" s="39"/>
      <c r="AL32" s="6"/>
      <c r="AN32" s="38"/>
      <c r="AO32" s="6"/>
    </row>
    <row r="33" spans="1:41" s="68" customFormat="1" ht="15.75" x14ac:dyDescent="0.25">
      <c r="A33" s="63" t="s">
        <v>235</v>
      </c>
      <c r="B33" s="63"/>
      <c r="C33" s="64" t="s">
        <v>211</v>
      </c>
      <c r="D33" s="63"/>
      <c r="E33" s="64" t="s">
        <v>2</v>
      </c>
      <c r="F33" s="64"/>
      <c r="G33" s="65">
        <v>15.92</v>
      </c>
      <c r="H33" s="66" t="s">
        <v>85</v>
      </c>
      <c r="I33" s="63"/>
      <c r="J33" s="65">
        <v>20.58</v>
      </c>
      <c r="K33" s="63" t="s">
        <v>13</v>
      </c>
      <c r="L33" s="63"/>
      <c r="M33" s="67" t="s">
        <v>199</v>
      </c>
      <c r="N33" s="63" t="s">
        <v>12</v>
      </c>
      <c r="O33" s="63"/>
      <c r="P33" s="100" t="s">
        <v>288</v>
      </c>
      <c r="Q33" s="66"/>
      <c r="R33" s="63"/>
      <c r="S33" s="65">
        <f>(1.1*2.3+0.9*2.25*2)</f>
        <v>6.58</v>
      </c>
      <c r="T33" s="66" t="s">
        <v>85</v>
      </c>
      <c r="V33" s="69">
        <f>(J33*2.85)-S33</f>
        <v>52.073</v>
      </c>
      <c r="W33" s="66" t="s">
        <v>85</v>
      </c>
      <c r="Y33" s="69">
        <f>V33</f>
        <v>52.073</v>
      </c>
      <c r="Z33" s="66" t="s">
        <v>85</v>
      </c>
      <c r="AB33" s="101" t="s">
        <v>288</v>
      </c>
      <c r="AC33" s="66"/>
      <c r="AD33" s="66"/>
      <c r="AE33" s="71" t="s">
        <v>288</v>
      </c>
      <c r="AF33" s="66"/>
      <c r="AH33" s="69">
        <f>G33-(AK33+5.27)</f>
        <v>4.5600000000000005</v>
      </c>
      <c r="AI33" s="66" t="s">
        <v>85</v>
      </c>
      <c r="AK33" s="95">
        <v>6.09</v>
      </c>
      <c r="AL33" s="66" t="s">
        <v>85</v>
      </c>
      <c r="AN33" s="72" t="s">
        <v>288</v>
      </c>
      <c r="AO33" s="66"/>
    </row>
    <row r="34" spans="1:41" s="68" customFormat="1" ht="15.75" x14ac:dyDescent="0.25">
      <c r="A34" s="63" t="s">
        <v>236</v>
      </c>
      <c r="B34" s="63"/>
      <c r="C34" s="64" t="s">
        <v>206</v>
      </c>
      <c r="D34" s="63"/>
      <c r="E34" s="64" t="s">
        <v>2</v>
      </c>
      <c r="F34" s="64"/>
      <c r="G34" s="65">
        <v>9.3000000000000007</v>
      </c>
      <c r="H34" s="66" t="s">
        <v>85</v>
      </c>
      <c r="I34" s="63"/>
      <c r="J34" s="65">
        <v>13.34</v>
      </c>
      <c r="K34" s="63" t="s">
        <v>13</v>
      </c>
      <c r="L34" s="63"/>
      <c r="M34" s="67" t="s">
        <v>199</v>
      </c>
      <c r="N34" s="63" t="s">
        <v>12</v>
      </c>
      <c r="O34" s="63"/>
      <c r="P34" s="100" t="s">
        <v>288</v>
      </c>
      <c r="Q34" s="66"/>
      <c r="R34" s="63"/>
      <c r="S34" s="65">
        <f>0.9*2.25</f>
        <v>2.0249999999999999</v>
      </c>
      <c r="T34" s="66" t="s">
        <v>85</v>
      </c>
      <c r="V34" s="69">
        <f>(J34*2.85)-S34</f>
        <v>35.994</v>
      </c>
      <c r="W34" s="66" t="s">
        <v>85</v>
      </c>
      <c r="Y34" s="69">
        <f>V34</f>
        <v>35.994</v>
      </c>
      <c r="Z34" s="66" t="s">
        <v>85</v>
      </c>
      <c r="AB34" s="101" t="s">
        <v>288</v>
      </c>
      <c r="AC34" s="66"/>
      <c r="AD34" s="66"/>
      <c r="AE34" s="71" t="s">
        <v>288</v>
      </c>
      <c r="AF34" s="66"/>
      <c r="AH34" s="70" t="s">
        <v>288</v>
      </c>
      <c r="AI34" s="66"/>
      <c r="AK34" s="95">
        <f>G34</f>
        <v>9.3000000000000007</v>
      </c>
      <c r="AL34" s="66" t="s">
        <v>85</v>
      </c>
      <c r="AN34" s="72" t="s">
        <v>288</v>
      </c>
      <c r="AO34" s="66"/>
    </row>
    <row r="35" spans="1:41" s="68" customFormat="1" ht="15.75" x14ac:dyDescent="0.25">
      <c r="A35" s="155" t="s">
        <v>237</v>
      </c>
      <c r="B35" s="155"/>
      <c r="C35" s="156" t="s">
        <v>238</v>
      </c>
      <c r="D35" s="155"/>
      <c r="E35" s="156" t="s">
        <v>2</v>
      </c>
      <c r="F35" s="156"/>
      <c r="G35" s="157">
        <v>16.46</v>
      </c>
      <c r="H35" s="158" t="s">
        <v>85</v>
      </c>
      <c r="I35" s="155"/>
      <c r="J35" s="157">
        <v>16.239999999999998</v>
      </c>
      <c r="K35" s="155" t="s">
        <v>13</v>
      </c>
      <c r="L35" s="155"/>
      <c r="M35" s="159" t="s">
        <v>199</v>
      </c>
      <c r="N35" s="155" t="s">
        <v>12</v>
      </c>
      <c r="O35" s="155"/>
      <c r="P35" s="157">
        <v>0.22</v>
      </c>
      <c r="Q35" s="158" t="s">
        <v>85</v>
      </c>
      <c r="R35" s="155"/>
      <c r="S35" s="157">
        <f>0.9*2.25</f>
        <v>2.0249999999999999</v>
      </c>
      <c r="T35" s="158" t="s">
        <v>85</v>
      </c>
      <c r="U35" s="160"/>
      <c r="V35" s="161">
        <f>(J35*2.8)-(P35+S35)</f>
        <v>43.226999999999997</v>
      </c>
      <c r="W35" s="158" t="s">
        <v>85</v>
      </c>
      <c r="X35" s="160"/>
      <c r="Y35" s="161">
        <f>V35</f>
        <v>43.226999999999997</v>
      </c>
      <c r="Z35" s="158" t="s">
        <v>85</v>
      </c>
      <c r="AA35" s="160"/>
      <c r="AB35" s="162" t="s">
        <v>288</v>
      </c>
      <c r="AC35" s="158"/>
      <c r="AD35" s="158"/>
      <c r="AE35" s="163" t="s">
        <v>288</v>
      </c>
      <c r="AF35" s="158"/>
      <c r="AG35" s="160"/>
      <c r="AH35" s="164" t="s">
        <v>288</v>
      </c>
      <c r="AI35" s="158"/>
      <c r="AJ35" s="160"/>
      <c r="AK35" s="165">
        <f>G35</f>
        <v>16.46</v>
      </c>
      <c r="AL35" s="158" t="s">
        <v>85</v>
      </c>
      <c r="AM35" s="160"/>
      <c r="AN35" s="166" t="s">
        <v>288</v>
      </c>
      <c r="AO35" s="66"/>
    </row>
    <row r="36" spans="1:41" s="107" customFormat="1" ht="15.75" x14ac:dyDescent="0.25">
      <c r="A36" s="102"/>
      <c r="B36" s="102"/>
      <c r="C36" s="103"/>
      <c r="D36" s="102"/>
      <c r="E36" s="103"/>
      <c r="F36" s="103"/>
      <c r="G36" s="104"/>
      <c r="H36" s="105"/>
      <c r="I36" s="102"/>
      <c r="J36" s="104"/>
      <c r="K36" s="102"/>
      <c r="L36" s="102"/>
      <c r="M36" s="106"/>
      <c r="N36" s="102"/>
      <c r="O36" s="102"/>
      <c r="P36" s="104"/>
      <c r="Q36" s="105"/>
      <c r="R36" s="102"/>
      <c r="S36" s="104"/>
      <c r="T36" s="105"/>
      <c r="V36" s="108"/>
      <c r="W36" s="105"/>
      <c r="Y36" s="108">
        <f>SUM(Y33:Y35)</f>
        <v>131.29400000000001</v>
      </c>
      <c r="Z36" s="105" t="s">
        <v>100</v>
      </c>
      <c r="AB36" s="109"/>
      <c r="AC36" s="105"/>
      <c r="AD36" s="105"/>
      <c r="AE36" s="110"/>
      <c r="AF36" s="105"/>
      <c r="AH36" s="108">
        <f>SUM(AH33:AH35)</f>
        <v>4.5600000000000005</v>
      </c>
      <c r="AI36" s="105" t="s">
        <v>100</v>
      </c>
      <c r="AK36" s="109">
        <f>SUM(AK33:AK35)</f>
        <v>31.85</v>
      </c>
      <c r="AL36" s="105" t="s">
        <v>100</v>
      </c>
      <c r="AN36" s="111"/>
      <c r="AO36" s="105"/>
    </row>
    <row r="37" spans="1:41" s="79" customFormat="1" x14ac:dyDescent="0.25">
      <c r="A37" s="73"/>
      <c r="B37" s="73"/>
      <c r="C37" s="74"/>
      <c r="D37" s="73"/>
      <c r="E37" s="74"/>
      <c r="F37" s="74"/>
      <c r="G37" s="75"/>
      <c r="H37" s="76"/>
      <c r="I37" s="73"/>
      <c r="J37" s="75"/>
      <c r="K37" s="73"/>
      <c r="L37" s="73"/>
      <c r="M37" s="77"/>
      <c r="N37" s="73"/>
      <c r="O37" s="73"/>
      <c r="P37" s="75"/>
      <c r="Q37" s="76"/>
      <c r="R37" s="73"/>
      <c r="S37" s="75"/>
      <c r="T37" s="76"/>
      <c r="V37" s="80"/>
      <c r="W37" s="76"/>
      <c r="Z37" s="76"/>
      <c r="AB37" s="96"/>
      <c r="AC37" s="76"/>
      <c r="AD37" s="76"/>
      <c r="AE37" s="81"/>
      <c r="AF37" s="76"/>
      <c r="AH37" s="80"/>
      <c r="AI37" s="76"/>
      <c r="AK37" s="96"/>
      <c r="AL37" s="76"/>
      <c r="AN37" s="97"/>
      <c r="AO37" s="76"/>
    </row>
    <row r="38" spans="1:41" s="210" customFormat="1" ht="15.75" x14ac:dyDescent="0.25">
      <c r="A38" s="213" t="s">
        <v>239</v>
      </c>
      <c r="B38" s="213"/>
      <c r="C38" s="214" t="s">
        <v>240</v>
      </c>
      <c r="D38" s="213"/>
      <c r="E38" s="214" t="s">
        <v>4</v>
      </c>
      <c r="F38" s="214"/>
      <c r="G38" s="215">
        <v>8.15</v>
      </c>
      <c r="H38" s="66" t="s">
        <v>85</v>
      </c>
      <c r="I38" s="213"/>
      <c r="J38" s="215">
        <v>12.18</v>
      </c>
      <c r="K38" s="213" t="s">
        <v>13</v>
      </c>
      <c r="L38" s="213"/>
      <c r="M38" s="216" t="s">
        <v>202</v>
      </c>
      <c r="N38" s="213" t="s">
        <v>12</v>
      </c>
      <c r="O38" s="213"/>
      <c r="P38" s="217" t="s">
        <v>288</v>
      </c>
      <c r="Q38" s="66"/>
      <c r="R38" s="213"/>
      <c r="S38" s="215">
        <f>(0.8*2.25+1*2.6)</f>
        <v>4.4000000000000004</v>
      </c>
      <c r="T38" s="66" t="s">
        <v>85</v>
      </c>
      <c r="U38" s="218"/>
      <c r="V38" s="219">
        <f>(J38*2.72)-S38</f>
        <v>28.729600000000005</v>
      </c>
      <c r="W38" s="66" t="s">
        <v>85</v>
      </c>
      <c r="X38" s="218"/>
      <c r="Y38" s="219">
        <f>V38</f>
        <v>28.729600000000005</v>
      </c>
      <c r="Z38" s="66" t="s">
        <v>85</v>
      </c>
      <c r="AA38" s="218"/>
      <c r="AB38" s="101" t="s">
        <v>288</v>
      </c>
      <c r="AC38" s="66"/>
      <c r="AD38" s="66"/>
      <c r="AE38" s="71" t="s">
        <v>288</v>
      </c>
      <c r="AF38" s="66"/>
      <c r="AG38" s="218"/>
      <c r="AH38" s="219">
        <f>G38-5.91</f>
        <v>2.2400000000000002</v>
      </c>
      <c r="AI38" s="66" t="s">
        <v>85</v>
      </c>
      <c r="AJ38" s="218"/>
      <c r="AK38" s="101" t="s">
        <v>288</v>
      </c>
      <c r="AL38" s="66"/>
      <c r="AM38" s="218"/>
      <c r="AN38" s="212" t="s">
        <v>288</v>
      </c>
      <c r="AO38" s="209"/>
    </row>
    <row r="39" spans="1:41" s="68" customFormat="1" ht="15.75" x14ac:dyDescent="0.25">
      <c r="A39" s="63" t="s">
        <v>241</v>
      </c>
      <c r="B39" s="63"/>
      <c r="C39" s="64" t="s">
        <v>214</v>
      </c>
      <c r="D39" s="63"/>
      <c r="E39" s="64" t="s">
        <v>4</v>
      </c>
      <c r="F39" s="64"/>
      <c r="G39" s="65">
        <v>1.83</v>
      </c>
      <c r="H39" s="66" t="s">
        <v>85</v>
      </c>
      <c r="I39" s="63"/>
      <c r="J39" s="65">
        <v>5.75</v>
      </c>
      <c r="K39" s="63" t="s">
        <v>13</v>
      </c>
      <c r="L39" s="63"/>
      <c r="M39" s="67" t="s">
        <v>199</v>
      </c>
      <c r="N39" s="63" t="s">
        <v>12</v>
      </c>
      <c r="O39" s="63"/>
      <c r="P39" s="100" t="s">
        <v>288</v>
      </c>
      <c r="Q39" s="66"/>
      <c r="R39" s="63"/>
      <c r="S39" s="65">
        <f>0.8*2.25</f>
        <v>1.8</v>
      </c>
      <c r="T39" s="66" t="s">
        <v>85</v>
      </c>
      <c r="V39" s="69">
        <f>(J39*2.72)-S39</f>
        <v>13.84</v>
      </c>
      <c r="W39" s="66" t="s">
        <v>85</v>
      </c>
      <c r="Y39" s="69">
        <f>V39-AB39</f>
        <v>11.655000000000001</v>
      </c>
      <c r="Z39" s="66" t="s">
        <v>85</v>
      </c>
      <c r="AB39" s="101">
        <f>0.95*2.3</f>
        <v>2.1849999999999996</v>
      </c>
      <c r="AC39" s="66" t="s">
        <v>85</v>
      </c>
      <c r="AD39" s="66"/>
      <c r="AE39" s="71" t="s">
        <v>288</v>
      </c>
      <c r="AF39" s="66"/>
      <c r="AH39" s="70" t="s">
        <v>288</v>
      </c>
      <c r="AI39" s="66"/>
      <c r="AK39" s="95">
        <f>G39</f>
        <v>1.83</v>
      </c>
      <c r="AL39" s="66" t="s">
        <v>85</v>
      </c>
      <c r="AN39" s="72" t="s">
        <v>288</v>
      </c>
      <c r="AO39" s="66"/>
    </row>
    <row r="40" spans="1:41" s="68" customFormat="1" ht="15.75" x14ac:dyDescent="0.25">
      <c r="A40" s="63" t="s">
        <v>242</v>
      </c>
      <c r="B40" s="63"/>
      <c r="C40" s="64" t="s">
        <v>243</v>
      </c>
      <c r="D40" s="63"/>
      <c r="E40" s="64" t="s">
        <v>4</v>
      </c>
      <c r="F40" s="64"/>
      <c r="G40" s="65">
        <v>15.1</v>
      </c>
      <c r="H40" s="66" t="s">
        <v>85</v>
      </c>
      <c r="I40" s="63"/>
      <c r="J40" s="65">
        <v>16.12</v>
      </c>
      <c r="K40" s="63" t="s">
        <v>13</v>
      </c>
      <c r="L40" s="63"/>
      <c r="M40" s="67" t="s">
        <v>202</v>
      </c>
      <c r="N40" s="63" t="s">
        <v>12</v>
      </c>
      <c r="O40" s="63"/>
      <c r="P40" s="65">
        <f>1.8*0.9</f>
        <v>1.62</v>
      </c>
      <c r="Q40" s="66" t="s">
        <v>85</v>
      </c>
      <c r="R40" s="63"/>
      <c r="S40" s="65">
        <f>1*2.6</f>
        <v>2.6</v>
      </c>
      <c r="T40" s="66" t="s">
        <v>85</v>
      </c>
      <c r="V40" s="69">
        <f>8.06*2.72-(P40+S40)</f>
        <v>17.703200000000002</v>
      </c>
      <c r="W40" s="66" t="s">
        <v>85</v>
      </c>
      <c r="Y40" s="69">
        <f>V40+((0.9*2+1.8)*0.2)</f>
        <v>18.423200000000001</v>
      </c>
      <c r="Z40" s="66" t="s">
        <v>85</v>
      </c>
      <c r="AB40" s="101" t="s">
        <v>288</v>
      </c>
      <c r="AC40" s="66"/>
      <c r="AD40" s="66"/>
      <c r="AE40" s="71" t="s">
        <v>288</v>
      </c>
      <c r="AF40" s="66"/>
      <c r="AH40" s="69">
        <f>G40</f>
        <v>15.1</v>
      </c>
      <c r="AI40" s="66" t="s">
        <v>85</v>
      </c>
      <c r="AK40" s="101" t="s">
        <v>288</v>
      </c>
      <c r="AL40" s="66"/>
      <c r="AN40" s="72" t="s">
        <v>288</v>
      </c>
      <c r="AO40" s="66"/>
    </row>
    <row r="41" spans="1:41" s="68" customFormat="1" ht="15.75" x14ac:dyDescent="0.25">
      <c r="A41" s="63" t="s">
        <v>244</v>
      </c>
      <c r="B41" s="63"/>
      <c r="C41" s="64" t="s">
        <v>245</v>
      </c>
      <c r="D41" s="63"/>
      <c r="E41" s="64" t="s">
        <v>4</v>
      </c>
      <c r="F41" s="64"/>
      <c r="G41" s="65">
        <v>11.74</v>
      </c>
      <c r="H41" s="66" t="s">
        <v>85</v>
      </c>
      <c r="I41" s="63"/>
      <c r="J41" s="65">
        <v>14.59</v>
      </c>
      <c r="K41" s="63" t="s">
        <v>13</v>
      </c>
      <c r="L41" s="63"/>
      <c r="M41" s="67" t="s">
        <v>202</v>
      </c>
      <c r="N41" s="63" t="s">
        <v>12</v>
      </c>
      <c r="O41" s="63"/>
      <c r="P41" s="65">
        <v>0.81</v>
      </c>
      <c r="Q41" s="66" t="s">
        <v>85</v>
      </c>
      <c r="R41" s="63"/>
      <c r="S41" s="100" t="s">
        <v>288</v>
      </c>
      <c r="T41" s="66"/>
      <c r="V41" s="69">
        <f>(9.97*2.72)-P41</f>
        <v>26.308400000000006</v>
      </c>
      <c r="W41" s="66" t="s">
        <v>85</v>
      </c>
      <c r="Y41" s="69">
        <f>V41-(4.9*2.72)+((0.9*3)*0.2)</f>
        <v>13.520400000000006</v>
      </c>
      <c r="Z41" s="66" t="s">
        <v>85</v>
      </c>
      <c r="AB41" s="95">
        <f>4.9*2.6</f>
        <v>12.740000000000002</v>
      </c>
      <c r="AC41" s="66" t="s">
        <v>85</v>
      </c>
      <c r="AD41" s="66"/>
      <c r="AE41" s="71" t="s">
        <v>288</v>
      </c>
      <c r="AF41" s="66"/>
      <c r="AH41" s="69">
        <f>G41-AK41</f>
        <v>8.8000000000000007</v>
      </c>
      <c r="AI41" s="66" t="s">
        <v>85</v>
      </c>
      <c r="AK41" s="95">
        <f>4.9*0.6</f>
        <v>2.94</v>
      </c>
      <c r="AL41" s="66" t="s">
        <v>85</v>
      </c>
      <c r="AN41" s="72" t="s">
        <v>288</v>
      </c>
      <c r="AO41" s="66"/>
    </row>
    <row r="42" spans="1:41" s="68" customFormat="1" ht="15.75" x14ac:dyDescent="0.25">
      <c r="A42" s="63" t="s">
        <v>246</v>
      </c>
      <c r="B42" s="63"/>
      <c r="C42" s="64" t="s">
        <v>247</v>
      </c>
      <c r="D42" s="63"/>
      <c r="E42" s="64" t="s">
        <v>4</v>
      </c>
      <c r="F42" s="64"/>
      <c r="G42" s="65">
        <v>21.75</v>
      </c>
      <c r="H42" s="66" t="s">
        <v>85</v>
      </c>
      <c r="I42" s="63"/>
      <c r="J42" s="65">
        <v>18.75</v>
      </c>
      <c r="K42" s="63" t="s">
        <v>13</v>
      </c>
      <c r="L42" s="63"/>
      <c r="M42" s="67" t="s">
        <v>202</v>
      </c>
      <c r="N42" s="63" t="s">
        <v>12</v>
      </c>
      <c r="O42" s="63"/>
      <c r="P42" s="65">
        <f>3.7*2.4</f>
        <v>8.8800000000000008</v>
      </c>
      <c r="Q42" s="66" t="s">
        <v>85</v>
      </c>
      <c r="R42" s="63"/>
      <c r="S42" s="100" t="s">
        <v>288</v>
      </c>
      <c r="T42" s="66"/>
      <c r="V42" s="69">
        <f>(11.69*2.72)-P42</f>
        <v>22.916800000000002</v>
      </c>
      <c r="W42" s="66" t="s">
        <v>85</v>
      </c>
      <c r="Y42" s="69">
        <f>V42-(4.22*2.72)+((2.4*2+3.7)*0.2)</f>
        <v>13.138400000000001</v>
      </c>
      <c r="Z42" s="66" t="s">
        <v>85</v>
      </c>
      <c r="AB42" s="95">
        <f>4.22*2.6</f>
        <v>10.972</v>
      </c>
      <c r="AC42" s="66" t="s">
        <v>85</v>
      </c>
      <c r="AD42" s="66"/>
      <c r="AE42" s="71" t="s">
        <v>288</v>
      </c>
      <c r="AF42" s="66"/>
      <c r="AH42" s="69">
        <f>G42</f>
        <v>21.75</v>
      </c>
      <c r="AI42" s="66" t="s">
        <v>85</v>
      </c>
      <c r="AK42" s="101" t="s">
        <v>288</v>
      </c>
      <c r="AL42" s="66"/>
      <c r="AN42" s="72" t="s">
        <v>288</v>
      </c>
      <c r="AO42" s="66"/>
    </row>
    <row r="43" spans="1:41" s="68" customFormat="1" ht="15.75" x14ac:dyDescent="0.25">
      <c r="A43" s="155" t="s">
        <v>248</v>
      </c>
      <c r="B43" s="155"/>
      <c r="C43" s="156" t="s">
        <v>249</v>
      </c>
      <c r="D43" s="155"/>
      <c r="E43" s="156" t="s">
        <v>4</v>
      </c>
      <c r="F43" s="156"/>
      <c r="G43" s="157">
        <v>10.44</v>
      </c>
      <c r="H43" s="158" t="s">
        <v>85</v>
      </c>
      <c r="I43" s="155"/>
      <c r="J43" s="157">
        <v>13.39</v>
      </c>
      <c r="K43" s="155" t="s">
        <v>13</v>
      </c>
      <c r="L43" s="155"/>
      <c r="M43" s="159" t="s">
        <v>202</v>
      </c>
      <c r="N43" s="155" t="s">
        <v>12</v>
      </c>
      <c r="O43" s="155"/>
      <c r="P43" s="157">
        <f>1.2*2.4</f>
        <v>2.88</v>
      </c>
      <c r="Q43" s="158" t="s">
        <v>85</v>
      </c>
      <c r="R43" s="155"/>
      <c r="S43" s="167" t="s">
        <v>288</v>
      </c>
      <c r="T43" s="158"/>
      <c r="U43" s="160"/>
      <c r="V43" s="161">
        <f>(9.29*2.72)-P43</f>
        <v>22.3888</v>
      </c>
      <c r="W43" s="158" t="s">
        <v>85</v>
      </c>
      <c r="X43" s="160"/>
      <c r="Y43" s="161">
        <f>V43-(4.22*2.72)+((2.4*2+1.2)*0.2)</f>
        <v>12.110399999999998</v>
      </c>
      <c r="Z43" s="158" t="s">
        <v>85</v>
      </c>
      <c r="AA43" s="160"/>
      <c r="AB43" s="165">
        <f>4.22*2.6</f>
        <v>10.972</v>
      </c>
      <c r="AC43" s="158" t="s">
        <v>85</v>
      </c>
      <c r="AD43" s="158"/>
      <c r="AE43" s="163" t="s">
        <v>288</v>
      </c>
      <c r="AF43" s="158"/>
      <c r="AG43" s="160"/>
      <c r="AH43" s="161">
        <f>G43</f>
        <v>10.44</v>
      </c>
      <c r="AI43" s="158" t="s">
        <v>85</v>
      </c>
      <c r="AJ43" s="160"/>
      <c r="AK43" s="162" t="s">
        <v>288</v>
      </c>
      <c r="AL43" s="158"/>
      <c r="AM43" s="160"/>
      <c r="AN43" s="166" t="s">
        <v>288</v>
      </c>
      <c r="AO43" s="66"/>
    </row>
    <row r="44" spans="1:41" s="107" customFormat="1" ht="15.75" x14ac:dyDescent="0.25">
      <c r="A44" s="102"/>
      <c r="B44" s="102"/>
      <c r="C44" s="103"/>
      <c r="D44" s="102"/>
      <c r="E44" s="103"/>
      <c r="F44" s="103"/>
      <c r="G44" s="104"/>
      <c r="H44" s="105"/>
      <c r="I44" s="102"/>
      <c r="J44" s="104"/>
      <c r="K44" s="102"/>
      <c r="L44" s="102"/>
      <c r="M44" s="106"/>
      <c r="N44" s="102"/>
      <c r="O44" s="102"/>
      <c r="P44" s="104"/>
      <c r="Q44" s="105"/>
      <c r="R44" s="102"/>
      <c r="S44" s="104"/>
      <c r="T44" s="105"/>
      <c r="V44" s="108"/>
      <c r="W44" s="105"/>
      <c r="Y44" s="108">
        <f>SUM(Y38:Y43)</f>
        <v>97.577000000000012</v>
      </c>
      <c r="Z44" s="105" t="s">
        <v>100</v>
      </c>
      <c r="AB44" s="109">
        <f>SUM(AB38:AB43)</f>
        <v>36.869</v>
      </c>
      <c r="AC44" s="105" t="s">
        <v>100</v>
      </c>
      <c r="AD44" s="105"/>
      <c r="AE44" s="110"/>
      <c r="AF44" s="105"/>
      <c r="AH44" s="108">
        <f>SUM(AH38:AH43)</f>
        <v>58.33</v>
      </c>
      <c r="AI44" s="105" t="s">
        <v>100</v>
      </c>
      <c r="AK44" s="109">
        <f>SUM(AK38:AK43)</f>
        <v>4.7699999999999996</v>
      </c>
      <c r="AL44" s="105" t="s">
        <v>100</v>
      </c>
      <c r="AN44" s="111"/>
      <c r="AO44" s="105"/>
    </row>
    <row r="45" spans="1:41" x14ac:dyDescent="0.25">
      <c r="A45" s="27"/>
      <c r="B45" s="27"/>
      <c r="C45" s="30"/>
      <c r="D45" s="27"/>
      <c r="E45" s="30"/>
      <c r="F45" s="30"/>
      <c r="G45" s="33"/>
      <c r="H45" s="6"/>
      <c r="I45" s="27"/>
      <c r="J45" s="33"/>
      <c r="K45" s="27"/>
      <c r="L45" s="27"/>
      <c r="M45" s="35"/>
      <c r="N45" s="27"/>
      <c r="O45" s="27"/>
      <c r="P45" s="33"/>
      <c r="Q45" s="6"/>
      <c r="R45" s="27"/>
      <c r="S45" s="33"/>
      <c r="T45" s="6"/>
      <c r="W45" s="6"/>
      <c r="Z45" s="6"/>
      <c r="AB45" s="39"/>
      <c r="AC45" s="6"/>
      <c r="AD45" s="6"/>
      <c r="AE45" s="40"/>
      <c r="AF45" s="6"/>
      <c r="AI45" s="6"/>
      <c r="AK45" s="39"/>
      <c r="AL45" s="6"/>
      <c r="AN45" s="38"/>
      <c r="AO45" s="6"/>
    </row>
    <row r="46" spans="1:41" s="68" customFormat="1" ht="15.75" x14ac:dyDescent="0.25">
      <c r="A46" s="63" t="s">
        <v>250</v>
      </c>
      <c r="B46" s="63"/>
      <c r="C46" s="64" t="s">
        <v>219</v>
      </c>
      <c r="D46" s="63"/>
      <c r="E46" s="64" t="s">
        <v>5</v>
      </c>
      <c r="F46" s="64"/>
      <c r="G46" s="65">
        <v>14.13</v>
      </c>
      <c r="H46" s="66" t="s">
        <v>85</v>
      </c>
      <c r="I46" s="63"/>
      <c r="J46" s="65">
        <v>21.15</v>
      </c>
      <c r="K46" s="63" t="s">
        <v>13</v>
      </c>
      <c r="L46" s="63"/>
      <c r="M46" s="67" t="s">
        <v>202</v>
      </c>
      <c r="N46" s="63" t="s">
        <v>12</v>
      </c>
      <c r="O46" s="63"/>
      <c r="P46" s="100" t="s">
        <v>288</v>
      </c>
      <c r="Q46" s="66"/>
      <c r="R46" s="63"/>
      <c r="S46" s="65">
        <f>(0.8*2.25)+(0.9*2.25*3)</f>
        <v>7.8749999999999991</v>
      </c>
      <c r="T46" s="66" t="s">
        <v>85</v>
      </c>
      <c r="V46" s="69">
        <f>(J46*2.72)-S46</f>
        <v>49.652999999999999</v>
      </c>
      <c r="W46" s="66" t="s">
        <v>85</v>
      </c>
      <c r="Y46" s="69">
        <f>V46</f>
        <v>49.652999999999999</v>
      </c>
      <c r="Z46" s="66" t="s">
        <v>85</v>
      </c>
      <c r="AB46" s="101">
        <f>0.3*1.1</f>
        <v>0.33</v>
      </c>
      <c r="AC46" s="66" t="s">
        <v>85</v>
      </c>
      <c r="AD46" s="66"/>
      <c r="AE46" s="72" t="s">
        <v>288</v>
      </c>
      <c r="AF46" s="66"/>
      <c r="AH46" s="69">
        <v>4.25</v>
      </c>
      <c r="AI46" s="66" t="s">
        <v>85</v>
      </c>
      <c r="AK46" s="95">
        <f>1.1*3.602</f>
        <v>3.9622000000000002</v>
      </c>
      <c r="AL46" s="66" t="s">
        <v>85</v>
      </c>
      <c r="AN46" s="72" t="s">
        <v>288</v>
      </c>
      <c r="AO46" s="66"/>
    </row>
    <row r="47" spans="1:41" s="68" customFormat="1" ht="15.75" x14ac:dyDescent="0.25">
      <c r="A47" s="63" t="s">
        <v>251</v>
      </c>
      <c r="B47" s="63"/>
      <c r="C47" s="64" t="s">
        <v>226</v>
      </c>
      <c r="D47" s="63"/>
      <c r="E47" s="64" t="s">
        <v>5</v>
      </c>
      <c r="F47" s="64"/>
      <c r="G47" s="65">
        <v>12.54</v>
      </c>
      <c r="H47" s="66" t="s">
        <v>85</v>
      </c>
      <c r="I47" s="63"/>
      <c r="J47" s="65">
        <v>14.18</v>
      </c>
      <c r="K47" s="63" t="s">
        <v>13</v>
      </c>
      <c r="L47" s="63"/>
      <c r="M47" s="67" t="s">
        <v>202</v>
      </c>
      <c r="N47" s="63" t="s">
        <v>12</v>
      </c>
      <c r="O47" s="63"/>
      <c r="P47" s="65">
        <f>2.4*1.2</f>
        <v>2.88</v>
      </c>
      <c r="Q47" s="66" t="s">
        <v>85</v>
      </c>
      <c r="R47" s="63"/>
      <c r="S47" s="65">
        <f>0.9*2.25</f>
        <v>2.0249999999999999</v>
      </c>
      <c r="T47" s="66" t="s">
        <v>85</v>
      </c>
      <c r="V47" s="69">
        <f>(J47*2.72)-(P47+S47)</f>
        <v>33.6646</v>
      </c>
      <c r="W47" s="66" t="s">
        <v>85</v>
      </c>
      <c r="Y47" s="69">
        <f>V47+((1.2*2+2.4)*0.2)</f>
        <v>34.624600000000001</v>
      </c>
      <c r="Z47" s="66" t="s">
        <v>85</v>
      </c>
      <c r="AB47" s="252" t="s">
        <v>288</v>
      </c>
      <c r="AD47" s="66"/>
      <c r="AE47" s="72" t="s">
        <v>288</v>
      </c>
      <c r="AF47" s="66"/>
      <c r="AH47" s="253">
        <f>G47</f>
        <v>12.54</v>
      </c>
      <c r="AI47" s="66" t="s">
        <v>85</v>
      </c>
      <c r="AK47" s="101" t="s">
        <v>288</v>
      </c>
      <c r="AL47" s="66"/>
      <c r="AN47" s="72" t="s">
        <v>288</v>
      </c>
      <c r="AO47" s="66"/>
    </row>
    <row r="48" spans="1:41" s="68" customFormat="1" ht="15.75" x14ac:dyDescent="0.25">
      <c r="A48" s="63" t="s">
        <v>252</v>
      </c>
      <c r="B48" s="63"/>
      <c r="C48" s="64" t="s">
        <v>209</v>
      </c>
      <c r="D48" s="63"/>
      <c r="E48" s="64" t="s">
        <v>5</v>
      </c>
      <c r="F48" s="64"/>
      <c r="G48" s="65">
        <v>6.78</v>
      </c>
      <c r="H48" s="66" t="s">
        <v>85</v>
      </c>
      <c r="I48" s="63"/>
      <c r="J48" s="65">
        <v>11.2</v>
      </c>
      <c r="K48" s="63" t="s">
        <v>13</v>
      </c>
      <c r="L48" s="63"/>
      <c r="M48" s="67" t="s">
        <v>199</v>
      </c>
      <c r="N48" s="63" t="s">
        <v>12</v>
      </c>
      <c r="O48" s="63"/>
      <c r="P48" s="65">
        <f>1.8*0.6</f>
        <v>1.08</v>
      </c>
      <c r="Q48" s="66" t="s">
        <v>85</v>
      </c>
      <c r="R48" s="63"/>
      <c r="S48" s="100" t="s">
        <v>288</v>
      </c>
      <c r="T48" s="66"/>
      <c r="V48" s="69">
        <f>(10.286*2.72)-(P48)</f>
        <v>26.897919999999999</v>
      </c>
      <c r="W48" s="66" t="s">
        <v>85</v>
      </c>
      <c r="Y48" s="69">
        <f>V48-(3.7*2.72)+(0.6*2+1.8)*0.2</f>
        <v>17.433920000000001</v>
      </c>
      <c r="Z48" s="66" t="s">
        <v>85</v>
      </c>
      <c r="AB48" s="95">
        <f>(3.7*2.3)</f>
        <v>8.51</v>
      </c>
      <c r="AC48" s="66" t="s">
        <v>85</v>
      </c>
      <c r="AD48" s="66"/>
      <c r="AE48" s="72" t="s">
        <v>288</v>
      </c>
      <c r="AF48" s="66"/>
      <c r="AH48" s="70" t="s">
        <v>288</v>
      </c>
      <c r="AI48" s="66"/>
      <c r="AK48" s="95">
        <f>G48</f>
        <v>6.78</v>
      </c>
      <c r="AL48" s="66" t="s">
        <v>85</v>
      </c>
      <c r="AN48" s="72" t="s">
        <v>288</v>
      </c>
      <c r="AO48" s="66"/>
    </row>
    <row r="49" spans="1:41" s="68" customFormat="1" ht="15.75" x14ac:dyDescent="0.25">
      <c r="A49" s="63" t="s">
        <v>253</v>
      </c>
      <c r="B49" s="63"/>
      <c r="C49" s="64" t="s">
        <v>254</v>
      </c>
      <c r="D49" s="63"/>
      <c r="E49" s="64" t="s">
        <v>5</v>
      </c>
      <c r="F49" s="64"/>
      <c r="G49" s="65">
        <v>1.98</v>
      </c>
      <c r="H49" s="66" t="s">
        <v>85</v>
      </c>
      <c r="I49" s="63"/>
      <c r="J49" s="65">
        <v>5.8</v>
      </c>
      <c r="K49" s="63" t="s">
        <v>13</v>
      </c>
      <c r="L49" s="63"/>
      <c r="M49" s="67" t="s">
        <v>199</v>
      </c>
      <c r="N49" s="63" t="s">
        <v>12</v>
      </c>
      <c r="O49" s="63"/>
      <c r="P49" s="100" t="s">
        <v>288</v>
      </c>
      <c r="Q49" s="66"/>
      <c r="R49" s="63"/>
      <c r="S49" s="65">
        <f>0.8*2.25</f>
        <v>1.8</v>
      </c>
      <c r="T49" s="66" t="s">
        <v>85</v>
      </c>
      <c r="V49" s="69">
        <f>(4.875*2.72)-S49</f>
        <v>11.46</v>
      </c>
      <c r="W49" s="66" t="s">
        <v>85</v>
      </c>
      <c r="Y49" s="69">
        <f>V49-(1.1*2.72)</f>
        <v>8.468</v>
      </c>
      <c r="Z49" s="66" t="s">
        <v>85</v>
      </c>
      <c r="AB49" s="95">
        <f>(1.1*2.3)</f>
        <v>2.5299999999999998</v>
      </c>
      <c r="AC49" s="66" t="s">
        <v>85</v>
      </c>
      <c r="AD49" s="66"/>
      <c r="AE49" s="72" t="s">
        <v>288</v>
      </c>
      <c r="AF49" s="66"/>
      <c r="AH49" s="70" t="s">
        <v>288</v>
      </c>
      <c r="AI49" s="66"/>
      <c r="AK49" s="95">
        <f>G49</f>
        <v>1.98</v>
      </c>
      <c r="AL49" s="66" t="s">
        <v>85</v>
      </c>
      <c r="AN49" s="72" t="s">
        <v>288</v>
      </c>
      <c r="AO49" s="66"/>
    </row>
    <row r="50" spans="1:41" s="68" customFormat="1" ht="15.75" x14ac:dyDescent="0.25">
      <c r="A50" s="63" t="s">
        <v>255</v>
      </c>
      <c r="B50" s="63"/>
      <c r="C50" s="64" t="s">
        <v>223</v>
      </c>
      <c r="D50" s="63"/>
      <c r="E50" s="64" t="s">
        <v>5</v>
      </c>
      <c r="F50" s="64"/>
      <c r="G50" s="65">
        <v>15.75</v>
      </c>
      <c r="H50" s="66" t="s">
        <v>85</v>
      </c>
      <c r="I50" s="63"/>
      <c r="J50" s="65">
        <v>17.14</v>
      </c>
      <c r="K50" s="63" t="s">
        <v>13</v>
      </c>
      <c r="L50" s="63"/>
      <c r="M50" s="67" t="s">
        <v>202</v>
      </c>
      <c r="N50" s="63" t="s">
        <v>12</v>
      </c>
      <c r="O50" s="63"/>
      <c r="P50" s="65">
        <f>2.4*1.2</f>
        <v>2.88</v>
      </c>
      <c r="Q50" s="66" t="s">
        <v>85</v>
      </c>
      <c r="R50" s="63"/>
      <c r="S50" s="65">
        <f>0.9*2.25</f>
        <v>2.0249999999999999</v>
      </c>
      <c r="T50" s="66" t="s">
        <v>85</v>
      </c>
      <c r="V50" s="69">
        <f>(17.255*2.72)-(P50+S50)</f>
        <v>42.028599999999997</v>
      </c>
      <c r="W50" s="66" t="s">
        <v>85</v>
      </c>
      <c r="Y50" s="69">
        <f>V50-(4.22*2.72)+((1.2*2+2.4)*0.2)</f>
        <v>31.510199999999998</v>
      </c>
      <c r="Z50" s="66" t="s">
        <v>85</v>
      </c>
      <c r="AB50" s="95">
        <f>(4.22*2.6)+(3.748*0.3)</f>
        <v>12.096399999999999</v>
      </c>
      <c r="AC50" s="66" t="s">
        <v>85</v>
      </c>
      <c r="AD50" s="66"/>
      <c r="AE50" s="72" t="s">
        <v>288</v>
      </c>
      <c r="AF50" s="66"/>
      <c r="AH50" s="69">
        <v>15.75</v>
      </c>
      <c r="AI50" s="66" t="s">
        <v>85</v>
      </c>
      <c r="AK50" s="95">
        <f>3.748*0.6</f>
        <v>2.2488000000000001</v>
      </c>
      <c r="AL50" s="66" t="s">
        <v>85</v>
      </c>
      <c r="AN50" s="72" t="s">
        <v>288</v>
      </c>
      <c r="AO50" s="66"/>
    </row>
    <row r="51" spans="1:41" s="68" customFormat="1" ht="15.75" x14ac:dyDescent="0.25">
      <c r="A51" s="155" t="s">
        <v>256</v>
      </c>
      <c r="B51" s="155"/>
      <c r="C51" s="156" t="s">
        <v>223</v>
      </c>
      <c r="D51" s="155"/>
      <c r="E51" s="156" t="s">
        <v>5</v>
      </c>
      <c r="F51" s="156"/>
      <c r="G51" s="157">
        <v>15.75</v>
      </c>
      <c r="H51" s="158" t="s">
        <v>85</v>
      </c>
      <c r="I51" s="155"/>
      <c r="J51" s="157">
        <v>17.14</v>
      </c>
      <c r="K51" s="155" t="s">
        <v>13</v>
      </c>
      <c r="L51" s="155"/>
      <c r="M51" s="159" t="s">
        <v>202</v>
      </c>
      <c r="N51" s="155" t="s">
        <v>12</v>
      </c>
      <c r="O51" s="155"/>
      <c r="P51" s="157">
        <f>2.4*1.2</f>
        <v>2.88</v>
      </c>
      <c r="Q51" s="158" t="s">
        <v>85</v>
      </c>
      <c r="R51" s="155"/>
      <c r="S51" s="157">
        <f>0.9*2.25</f>
        <v>2.0249999999999999</v>
      </c>
      <c r="T51" s="158" t="s">
        <v>85</v>
      </c>
      <c r="U51" s="160"/>
      <c r="V51" s="161">
        <f>(17.255*2.72)-(P51+S51)</f>
        <v>42.028599999999997</v>
      </c>
      <c r="W51" s="158" t="s">
        <v>85</v>
      </c>
      <c r="X51" s="160"/>
      <c r="Y51" s="161">
        <f>V51-(4.22*2.72)+((1.2*2+2.4)*0.2)</f>
        <v>31.510199999999998</v>
      </c>
      <c r="Z51" s="158" t="s">
        <v>85</v>
      </c>
      <c r="AA51" s="160"/>
      <c r="AB51" s="165">
        <f>(4.22*2.6)+(3.748*0.3)</f>
        <v>12.096399999999999</v>
      </c>
      <c r="AC51" s="158" t="s">
        <v>85</v>
      </c>
      <c r="AD51" s="158"/>
      <c r="AE51" s="166" t="s">
        <v>288</v>
      </c>
      <c r="AF51" s="158"/>
      <c r="AG51" s="160"/>
      <c r="AH51" s="161">
        <v>15.75</v>
      </c>
      <c r="AI51" s="158" t="s">
        <v>85</v>
      </c>
      <c r="AJ51" s="160"/>
      <c r="AK51" s="165">
        <f>3.748*0.6</f>
        <v>2.2488000000000001</v>
      </c>
      <c r="AL51" s="158" t="s">
        <v>85</v>
      </c>
      <c r="AM51" s="160"/>
      <c r="AN51" s="166" t="s">
        <v>288</v>
      </c>
      <c r="AO51" s="66"/>
    </row>
    <row r="52" spans="1:41" s="107" customFormat="1" ht="15.75" x14ac:dyDescent="0.25">
      <c r="A52" s="102"/>
      <c r="B52" s="102"/>
      <c r="C52" s="103"/>
      <c r="D52" s="102"/>
      <c r="E52" s="103"/>
      <c r="F52" s="103"/>
      <c r="G52" s="104"/>
      <c r="H52" s="105"/>
      <c r="I52" s="102"/>
      <c r="J52" s="104"/>
      <c r="K52" s="102"/>
      <c r="L52" s="102"/>
      <c r="M52" s="106"/>
      <c r="N52" s="102"/>
      <c r="O52" s="102"/>
      <c r="P52" s="104"/>
      <c r="Q52" s="105"/>
      <c r="R52" s="102"/>
      <c r="S52" s="104"/>
      <c r="T52" s="105"/>
      <c r="V52" s="108"/>
      <c r="W52" s="105"/>
      <c r="Y52" s="108">
        <f>SUM(Y46:Y51)</f>
        <v>173.19992000000002</v>
      </c>
      <c r="Z52" s="105" t="s">
        <v>100</v>
      </c>
      <c r="AB52" s="108">
        <f>SUM(AB46:AB51)</f>
        <v>35.562799999999996</v>
      </c>
      <c r="AC52" s="105" t="s">
        <v>100</v>
      </c>
      <c r="AD52" s="105"/>
      <c r="AE52" s="110"/>
      <c r="AF52" s="105"/>
      <c r="AH52" s="108">
        <f>SUM(AH46:AH51)</f>
        <v>48.29</v>
      </c>
      <c r="AI52" s="105" t="s">
        <v>100</v>
      </c>
      <c r="AK52" s="108">
        <f>SUM(AK46:AK51)</f>
        <v>17.219799999999999</v>
      </c>
      <c r="AL52" s="105" t="s">
        <v>100</v>
      </c>
      <c r="AN52" s="111"/>
      <c r="AO52" s="105"/>
    </row>
    <row r="53" spans="1:41" x14ac:dyDescent="0.25">
      <c r="A53" s="27"/>
      <c r="B53" s="27"/>
      <c r="C53" s="30"/>
      <c r="D53" s="27"/>
      <c r="E53" s="30"/>
      <c r="F53" s="30"/>
      <c r="G53" s="33"/>
      <c r="H53" s="6"/>
      <c r="I53" s="27"/>
      <c r="J53" s="33"/>
      <c r="K53" s="27"/>
      <c r="L53" s="27"/>
      <c r="M53" s="35"/>
      <c r="N53" s="27"/>
      <c r="O53" s="27"/>
      <c r="P53" s="33"/>
      <c r="Q53" s="6"/>
      <c r="R53" s="27"/>
      <c r="S53" s="33"/>
      <c r="T53" s="6"/>
      <c r="W53" s="6"/>
      <c r="Z53" s="6"/>
      <c r="AB53" s="39"/>
      <c r="AC53" s="6"/>
      <c r="AD53" s="6"/>
      <c r="AE53" s="40"/>
      <c r="AF53" s="6"/>
      <c r="AI53" s="6"/>
      <c r="AK53" s="39"/>
      <c r="AL53" s="6"/>
      <c r="AN53" s="38"/>
      <c r="AO53" s="6"/>
    </row>
    <row r="54" spans="1:41" s="68" customFormat="1" ht="15.75" x14ac:dyDescent="0.25">
      <c r="A54" s="63" t="s">
        <v>257</v>
      </c>
      <c r="B54" s="63"/>
      <c r="C54" s="64" t="s">
        <v>219</v>
      </c>
      <c r="D54" s="63"/>
      <c r="E54" s="64" t="s">
        <v>48</v>
      </c>
      <c r="F54" s="64"/>
      <c r="G54" s="65">
        <v>6.91</v>
      </c>
      <c r="H54" s="66" t="s">
        <v>85</v>
      </c>
      <c r="I54" s="63"/>
      <c r="J54" s="65">
        <v>10.81</v>
      </c>
      <c r="K54" s="63" t="s">
        <v>13</v>
      </c>
      <c r="L54" s="63"/>
      <c r="M54" s="67" t="s">
        <v>215</v>
      </c>
      <c r="N54" s="63" t="s">
        <v>12</v>
      </c>
      <c r="O54" s="63"/>
      <c r="P54" s="65">
        <f>(1.14*1.398)</f>
        <v>1.5937199999999998</v>
      </c>
      <c r="Q54" s="66" t="s">
        <v>85</v>
      </c>
      <c r="R54" s="63"/>
      <c r="S54" s="65">
        <f>(0.9*2.25)*2</f>
        <v>4.05</v>
      </c>
      <c r="T54" s="66" t="s">
        <v>85</v>
      </c>
      <c r="V54" s="69">
        <f>((7.99*2)+(2.4*2.075))-S54+(11.875*0.12)</f>
        <v>18.335000000000001</v>
      </c>
      <c r="W54" s="66" t="s">
        <v>85</v>
      </c>
      <c r="Y54" s="69">
        <f>V54</f>
        <v>18.335000000000001</v>
      </c>
      <c r="Z54" s="66" t="s">
        <v>85</v>
      </c>
      <c r="AB54" s="101" t="s">
        <v>288</v>
      </c>
      <c r="AC54" s="66"/>
      <c r="AD54" s="66"/>
      <c r="AE54" s="101" t="s">
        <v>288</v>
      </c>
      <c r="AF54" s="66"/>
      <c r="AH54" s="70" t="s">
        <v>288</v>
      </c>
      <c r="AI54" s="66"/>
      <c r="AK54" s="95">
        <f>(2.075*(3.898+1.795))-P54+(2*0.5*1.398+2*0.5*1.14)</f>
        <v>12.757255000000001</v>
      </c>
      <c r="AL54" s="66" t="s">
        <v>85</v>
      </c>
      <c r="AN54" s="72" t="s">
        <v>288</v>
      </c>
      <c r="AO54" s="66"/>
    </row>
    <row r="55" spans="1:41" s="68" customFormat="1" ht="15.75" x14ac:dyDescent="0.25">
      <c r="A55" s="63" t="s">
        <v>258</v>
      </c>
      <c r="B55" s="63"/>
      <c r="C55" s="64" t="s">
        <v>259</v>
      </c>
      <c r="D55" s="63"/>
      <c r="E55" s="64" t="s">
        <v>48</v>
      </c>
      <c r="F55" s="64"/>
      <c r="G55" s="65">
        <v>7.85</v>
      </c>
      <c r="H55" s="66" t="s">
        <v>85</v>
      </c>
      <c r="I55" s="63"/>
      <c r="J55" s="65">
        <v>11.22</v>
      </c>
      <c r="K55" s="63" t="s">
        <v>13</v>
      </c>
      <c r="L55" s="63"/>
      <c r="M55" s="67" t="s">
        <v>202</v>
      </c>
      <c r="N55" s="63" t="s">
        <v>12</v>
      </c>
      <c r="O55" s="63"/>
      <c r="P55" s="65">
        <f>(1.14*1.398)</f>
        <v>1.5937199999999998</v>
      </c>
      <c r="Q55" s="66" t="s">
        <v>85</v>
      </c>
      <c r="R55" s="63"/>
      <c r="S55" s="65">
        <f>(0.9*2.25)</f>
        <v>2.0249999999999999</v>
      </c>
      <c r="T55" s="66" t="s">
        <v>85</v>
      </c>
      <c r="V55" s="69">
        <f>((2*6.75)+(0.72+2.8)*2.955)-S55</f>
        <v>21.8766</v>
      </c>
      <c r="W55" s="66" t="s">
        <v>85</v>
      </c>
      <c r="Y55" s="69">
        <f>V55-((3.15*0.72)+6.75)</f>
        <v>12.858599999999999</v>
      </c>
      <c r="Z55" s="66" t="s">
        <v>85</v>
      </c>
      <c r="AB55" s="219">
        <f>6.33+(0.6*2.955)</f>
        <v>8.1029999999999998</v>
      </c>
      <c r="AC55" s="66" t="s">
        <v>85</v>
      </c>
      <c r="AD55" s="66"/>
      <c r="AE55" s="101" t="s">
        <v>288</v>
      </c>
      <c r="AF55" s="66"/>
      <c r="AH55" s="70" t="s">
        <v>288</v>
      </c>
      <c r="AI55" s="66"/>
      <c r="AK55" s="95">
        <f>((2.955*(3.248+0.865))-P55)</f>
        <v>10.560195000000002</v>
      </c>
      <c r="AL55" s="66" t="s">
        <v>85</v>
      </c>
      <c r="AN55" s="72" t="s">
        <v>288</v>
      </c>
      <c r="AO55" s="66"/>
    </row>
    <row r="56" spans="1:41" s="68" customFormat="1" ht="15.75" x14ac:dyDescent="0.25">
      <c r="A56" s="63" t="s">
        <v>260</v>
      </c>
      <c r="B56" s="63"/>
      <c r="C56" s="64" t="s">
        <v>261</v>
      </c>
      <c r="D56" s="63"/>
      <c r="E56" s="64" t="s">
        <v>48</v>
      </c>
      <c r="F56" s="64"/>
      <c r="G56" s="65">
        <v>19.22</v>
      </c>
      <c r="H56" s="66" t="s">
        <v>85</v>
      </c>
      <c r="I56" s="63"/>
      <c r="J56" s="65">
        <v>20.54</v>
      </c>
      <c r="K56" s="63" t="s">
        <v>13</v>
      </c>
      <c r="L56" s="63"/>
      <c r="M56" s="67" t="s">
        <v>202</v>
      </c>
      <c r="N56" s="63" t="s">
        <v>12</v>
      </c>
      <c r="O56" s="63"/>
      <c r="P56" s="65">
        <f>(1.14*1.398)*2</f>
        <v>3.1874399999999996</v>
      </c>
      <c r="Q56" s="66" t="s">
        <v>85</v>
      </c>
      <c r="R56" s="63"/>
      <c r="S56" s="65">
        <f>(0.9*2.25)+(0.8*2.25)*2</f>
        <v>5.625</v>
      </c>
      <c r="T56" s="66" t="s">
        <v>85</v>
      </c>
      <c r="V56" s="69">
        <f>((10.82*2.8)+(2*4.37))-S56</f>
        <v>33.411000000000001</v>
      </c>
      <c r="W56" s="66" t="s">
        <v>85</v>
      </c>
      <c r="Y56" s="219">
        <f>(6.12*2.8)+(4.37)-S56</f>
        <v>15.881</v>
      </c>
      <c r="Z56" s="66" t="s">
        <v>85</v>
      </c>
      <c r="AA56" s="210"/>
      <c r="AB56" s="219">
        <f>(4.1+(2.215*2.6)+(0.6*4.54))</f>
        <v>12.582999999999998</v>
      </c>
      <c r="AC56" s="66" t="s">
        <v>85</v>
      </c>
      <c r="AD56" s="66"/>
      <c r="AE56" s="211" t="s">
        <v>288</v>
      </c>
      <c r="AF56" s="209"/>
      <c r="AG56" s="210"/>
      <c r="AH56" s="255" t="s">
        <v>288</v>
      </c>
      <c r="AI56" s="209"/>
      <c r="AJ56" s="210"/>
      <c r="AK56" s="101">
        <f>(11.08+(4.54*3.248))-P56+(2*0.5*1.398)+(0.5*2*2.28)</f>
        <v>26.316480000000006</v>
      </c>
      <c r="AL56" s="66" t="s">
        <v>85</v>
      </c>
      <c r="AM56" s="210"/>
      <c r="AN56" s="72" t="s">
        <v>288</v>
      </c>
      <c r="AO56" s="66"/>
    </row>
    <row r="57" spans="1:41" s="68" customFormat="1" ht="15.75" x14ac:dyDescent="0.25">
      <c r="A57" s="63" t="s">
        <v>262</v>
      </c>
      <c r="B57" s="63"/>
      <c r="C57" s="64" t="s">
        <v>231</v>
      </c>
      <c r="D57" s="63"/>
      <c r="E57" s="64" t="s">
        <v>48</v>
      </c>
      <c r="F57" s="64"/>
      <c r="G57" s="65">
        <v>4.1900000000000004</v>
      </c>
      <c r="H57" s="66" t="s">
        <v>85</v>
      </c>
      <c r="I57" s="63"/>
      <c r="J57" s="65">
        <v>9.7249999999999996</v>
      </c>
      <c r="K57" s="63" t="s">
        <v>13</v>
      </c>
      <c r="L57" s="63"/>
      <c r="M57" s="67" t="s">
        <v>215</v>
      </c>
      <c r="N57" s="63" t="s">
        <v>12</v>
      </c>
      <c r="O57" s="63"/>
      <c r="P57" s="100" t="s">
        <v>288</v>
      </c>
      <c r="Q57" s="66"/>
      <c r="R57" s="63"/>
      <c r="S57" s="65">
        <f>(0.8*2.25)</f>
        <v>1.8</v>
      </c>
      <c r="T57" s="66" t="s">
        <v>85</v>
      </c>
      <c r="V57" s="69">
        <f>(2*5.02)+((0.72+2.8)*2.05)-S57</f>
        <v>15.455999999999996</v>
      </c>
      <c r="W57" s="66" t="s">
        <v>85</v>
      </c>
      <c r="Y57" s="69">
        <f>V57-(0.72*2.05)</f>
        <v>13.979999999999997</v>
      </c>
      <c r="Z57" s="66" t="s">
        <v>85</v>
      </c>
      <c r="AB57" s="168">
        <f>(2.05*0.6)</f>
        <v>1.2299999999999998</v>
      </c>
      <c r="AC57" s="66" t="s">
        <v>85</v>
      </c>
      <c r="AD57" s="66"/>
      <c r="AE57" s="101" t="s">
        <v>288</v>
      </c>
      <c r="AF57" s="66"/>
      <c r="AH57" s="70" t="s">
        <v>288</v>
      </c>
      <c r="AI57" s="66"/>
      <c r="AK57" s="95">
        <f>(2.05*(2.923+0.51))</f>
        <v>7.0376499999999993</v>
      </c>
      <c r="AL57" s="66" t="s">
        <v>85</v>
      </c>
      <c r="AN57" s="72" t="s">
        <v>288</v>
      </c>
      <c r="AO57" s="66"/>
    </row>
    <row r="58" spans="1:41" s="68" customFormat="1" ht="15.75" x14ac:dyDescent="0.25">
      <c r="A58" s="155" t="s">
        <v>263</v>
      </c>
      <c r="B58" s="155"/>
      <c r="C58" s="156" t="s">
        <v>209</v>
      </c>
      <c r="D58" s="155"/>
      <c r="E58" s="156" t="s">
        <v>48</v>
      </c>
      <c r="F58" s="156"/>
      <c r="G58" s="157">
        <v>6.34</v>
      </c>
      <c r="H58" s="158" t="s">
        <v>85</v>
      </c>
      <c r="I58" s="155"/>
      <c r="J58" s="157">
        <v>10.64</v>
      </c>
      <c r="K58" s="155" t="s">
        <v>13</v>
      </c>
      <c r="L58" s="155"/>
      <c r="M58" s="159" t="s">
        <v>215</v>
      </c>
      <c r="N58" s="155" t="s">
        <v>12</v>
      </c>
      <c r="O58" s="155"/>
      <c r="P58" s="157">
        <f>0.942*0.978</f>
        <v>0.92127599999999998</v>
      </c>
      <c r="Q58" s="158" t="s">
        <v>85</v>
      </c>
      <c r="R58" s="155"/>
      <c r="S58" s="157">
        <f>(0.8*2.25)</f>
        <v>1.8</v>
      </c>
      <c r="T58" s="158" t="s">
        <v>85</v>
      </c>
      <c r="U58" s="160"/>
      <c r="V58" s="161">
        <f>(3.328*(1.375+2.8))+(2*4.14)-S58</f>
        <v>20.374399999999998</v>
      </c>
      <c r="W58" s="158" t="s">
        <v>85</v>
      </c>
      <c r="X58" s="160"/>
      <c r="Y58" s="161">
        <f>(3.328*2.8)+4.14-S58</f>
        <v>11.658399999999997</v>
      </c>
      <c r="Z58" s="158" t="s">
        <v>85</v>
      </c>
      <c r="AA58" s="160"/>
      <c r="AB58" s="161">
        <f>1.255*3.208+3.9</f>
        <v>7.9260400000000004</v>
      </c>
      <c r="AC58" s="158" t="s">
        <v>85</v>
      </c>
      <c r="AD58" s="158"/>
      <c r="AE58" s="162" t="s">
        <v>288</v>
      </c>
      <c r="AF58" s="158"/>
      <c r="AG58" s="160"/>
      <c r="AH58" s="164" t="s">
        <v>288</v>
      </c>
      <c r="AI58" s="158"/>
      <c r="AJ58" s="160"/>
      <c r="AK58" s="165">
        <f>(3.208*(2.923+0.51))-P58+(2*0.978*0.5+2*0.942*0.5)</f>
        <v>12.011787999999999</v>
      </c>
      <c r="AL58" s="158" t="s">
        <v>85</v>
      </c>
      <c r="AM58" s="160"/>
      <c r="AN58" s="166" t="s">
        <v>288</v>
      </c>
      <c r="AO58" s="66"/>
    </row>
    <row r="59" spans="1:41" s="107" customFormat="1" ht="15.75" x14ac:dyDescent="0.25">
      <c r="A59" s="102"/>
      <c r="B59" s="102"/>
      <c r="C59" s="103"/>
      <c r="D59" s="102"/>
      <c r="E59" s="103"/>
      <c r="F59" s="103"/>
      <c r="G59" s="104"/>
      <c r="H59" s="105"/>
      <c r="I59" s="102"/>
      <c r="J59" s="104"/>
      <c r="K59" s="102"/>
      <c r="L59" s="102"/>
      <c r="M59" s="106"/>
      <c r="N59" s="102"/>
      <c r="O59" s="102"/>
      <c r="P59" s="104"/>
      <c r="Q59" s="105"/>
      <c r="R59" s="102"/>
      <c r="S59" s="104"/>
      <c r="T59" s="105"/>
      <c r="V59" s="108"/>
      <c r="W59" s="105"/>
      <c r="Y59" s="108">
        <f>SUM(Y54:Y58)</f>
        <v>72.712999999999994</v>
      </c>
      <c r="Z59" s="105" t="s">
        <v>100</v>
      </c>
      <c r="AB59" s="109">
        <f>SUM(AB54:AB58)</f>
        <v>29.842040000000001</v>
      </c>
      <c r="AC59" s="105" t="s">
        <v>100</v>
      </c>
      <c r="AD59" s="105"/>
      <c r="AE59" s="110"/>
      <c r="AF59" s="105"/>
      <c r="AH59" s="108"/>
      <c r="AI59" s="105"/>
      <c r="AK59" s="109">
        <f>SUM(AK54:AK58)</f>
        <v>68.683368000000002</v>
      </c>
      <c r="AL59" s="105" t="s">
        <v>100</v>
      </c>
      <c r="AN59" s="111"/>
      <c r="AO59" s="105"/>
    </row>
    <row r="60" spans="1:41" x14ac:dyDescent="0.25">
      <c r="A60" s="27"/>
      <c r="B60" s="27"/>
      <c r="C60" s="30"/>
      <c r="D60" s="27"/>
      <c r="E60" s="30"/>
      <c r="F60" s="30"/>
      <c r="G60" s="33"/>
      <c r="H60" s="6"/>
      <c r="I60" s="27"/>
      <c r="J60" s="33"/>
      <c r="K60" s="27"/>
      <c r="L60" s="27"/>
      <c r="M60" s="35"/>
      <c r="N60" s="27"/>
      <c r="O60" s="27"/>
      <c r="P60" s="33"/>
      <c r="Q60" s="6"/>
      <c r="R60" s="27"/>
      <c r="S60" s="33"/>
      <c r="T60" s="6"/>
      <c r="W60" s="6"/>
      <c r="Z60" s="6"/>
      <c r="AB60" s="39"/>
      <c r="AC60" s="6"/>
      <c r="AD60" s="6"/>
      <c r="AE60" s="40"/>
      <c r="AF60" s="6"/>
      <c r="AI60" s="6"/>
      <c r="AK60" s="39"/>
      <c r="AL60" s="6"/>
      <c r="AN60" s="38"/>
      <c r="AO60" s="6"/>
    </row>
    <row r="61" spans="1:41" s="46" customFormat="1" ht="15.75" x14ac:dyDescent="0.25">
      <c r="A61" s="41" t="s">
        <v>264</v>
      </c>
      <c r="B61" s="41"/>
      <c r="C61" s="42" t="s">
        <v>211</v>
      </c>
      <c r="D61" s="41"/>
      <c r="E61" s="42" t="s">
        <v>2</v>
      </c>
      <c r="F61" s="42"/>
      <c r="G61" s="43">
        <v>15.1</v>
      </c>
      <c r="H61" s="44" t="s">
        <v>85</v>
      </c>
      <c r="I61" s="41"/>
      <c r="J61" s="43">
        <v>20.39</v>
      </c>
      <c r="K61" s="41" t="s">
        <v>13</v>
      </c>
      <c r="L61" s="41"/>
      <c r="M61" s="45" t="s">
        <v>199</v>
      </c>
      <c r="N61" s="41" t="s">
        <v>12</v>
      </c>
      <c r="O61" s="41"/>
      <c r="P61" s="112" t="s">
        <v>288</v>
      </c>
      <c r="Q61" s="44" t="s">
        <v>85</v>
      </c>
      <c r="R61" s="41"/>
      <c r="S61" s="43">
        <f>(1.1*2.3+0.9*2.25*2)</f>
        <v>6.58</v>
      </c>
      <c r="T61" s="44" t="s">
        <v>85</v>
      </c>
      <c r="V61" s="47">
        <f>(J61*2.85)-S61</f>
        <v>51.531500000000008</v>
      </c>
      <c r="W61" s="44" t="s">
        <v>85</v>
      </c>
      <c r="Y61" s="47">
        <f>V61</f>
        <v>51.531500000000008</v>
      </c>
      <c r="Z61" s="44" t="s">
        <v>85</v>
      </c>
      <c r="AB61" s="113" t="s">
        <v>288</v>
      </c>
      <c r="AC61" s="44"/>
      <c r="AD61" s="44"/>
      <c r="AE61" s="49" t="s">
        <v>288</v>
      </c>
      <c r="AF61" s="44"/>
      <c r="AH61" s="48">
        <f>G61-(AK61+5.27)</f>
        <v>4.32</v>
      </c>
      <c r="AI61" s="44" t="s">
        <v>85</v>
      </c>
      <c r="AK61" s="98">
        <v>5.51</v>
      </c>
      <c r="AL61" s="44" t="s">
        <v>85</v>
      </c>
      <c r="AN61" s="114" t="s">
        <v>288</v>
      </c>
      <c r="AO61" s="44"/>
    </row>
    <row r="62" spans="1:41" s="46" customFormat="1" ht="15.75" x14ac:dyDescent="0.25">
      <c r="A62" s="41" t="s">
        <v>265</v>
      </c>
      <c r="B62" s="41"/>
      <c r="C62" s="42" t="s">
        <v>206</v>
      </c>
      <c r="D62" s="41"/>
      <c r="E62" s="42" t="s">
        <v>2</v>
      </c>
      <c r="F62" s="42"/>
      <c r="G62" s="43">
        <v>8.4</v>
      </c>
      <c r="H62" s="44" t="s">
        <v>85</v>
      </c>
      <c r="I62" s="41"/>
      <c r="J62" s="43">
        <v>12.55</v>
      </c>
      <c r="K62" s="41" t="s">
        <v>13</v>
      </c>
      <c r="L62" s="41"/>
      <c r="M62" s="45" t="s">
        <v>199</v>
      </c>
      <c r="N62" s="41" t="s">
        <v>12</v>
      </c>
      <c r="O62" s="41"/>
      <c r="P62" s="112" t="s">
        <v>288</v>
      </c>
      <c r="Q62" s="44" t="s">
        <v>85</v>
      </c>
      <c r="R62" s="41"/>
      <c r="S62" s="43">
        <f>0.9*2.25</f>
        <v>2.0249999999999999</v>
      </c>
      <c r="T62" s="44" t="s">
        <v>85</v>
      </c>
      <c r="V62" s="47">
        <f>(J62*2.85)-S62</f>
        <v>33.742500000000007</v>
      </c>
      <c r="W62" s="44" t="s">
        <v>85</v>
      </c>
      <c r="Y62" s="47">
        <f>V62</f>
        <v>33.742500000000007</v>
      </c>
      <c r="Z62" s="44" t="s">
        <v>85</v>
      </c>
      <c r="AB62" s="113" t="s">
        <v>288</v>
      </c>
      <c r="AC62" s="44"/>
      <c r="AD62" s="44"/>
      <c r="AE62" s="49" t="s">
        <v>288</v>
      </c>
      <c r="AF62" s="44"/>
      <c r="AH62" s="48" t="s">
        <v>288</v>
      </c>
      <c r="AI62" s="44"/>
      <c r="AK62" s="98">
        <f>G62</f>
        <v>8.4</v>
      </c>
      <c r="AL62" s="44" t="s">
        <v>85</v>
      </c>
      <c r="AN62" s="114" t="s">
        <v>288</v>
      </c>
      <c r="AO62" s="44"/>
    </row>
    <row r="63" spans="1:41" s="46" customFormat="1" ht="15.75" x14ac:dyDescent="0.25">
      <c r="A63" s="170" t="s">
        <v>266</v>
      </c>
      <c r="B63" s="170"/>
      <c r="C63" s="171" t="s">
        <v>238</v>
      </c>
      <c r="D63" s="170"/>
      <c r="E63" s="171" t="s">
        <v>2</v>
      </c>
      <c r="F63" s="171"/>
      <c r="G63" s="169">
        <v>16.2</v>
      </c>
      <c r="H63" s="172" t="s">
        <v>85</v>
      </c>
      <c r="I63" s="170"/>
      <c r="J63" s="169">
        <v>16.12</v>
      </c>
      <c r="K63" s="170" t="s">
        <v>13</v>
      </c>
      <c r="L63" s="170"/>
      <c r="M63" s="173" t="s">
        <v>199</v>
      </c>
      <c r="N63" s="170" t="s">
        <v>12</v>
      </c>
      <c r="O63" s="170"/>
      <c r="P63" s="169">
        <v>0.22</v>
      </c>
      <c r="Q63" s="172" t="s">
        <v>85</v>
      </c>
      <c r="R63" s="170"/>
      <c r="S63" s="169">
        <f>0.9*2.25</f>
        <v>2.0249999999999999</v>
      </c>
      <c r="T63" s="172" t="s">
        <v>85</v>
      </c>
      <c r="U63" s="174"/>
      <c r="V63" s="175">
        <f>(J63*2.3)-(P63+S63)</f>
        <v>34.831000000000003</v>
      </c>
      <c r="W63" s="172" t="s">
        <v>85</v>
      </c>
      <c r="X63" s="174"/>
      <c r="Y63" s="175">
        <f>V63</f>
        <v>34.831000000000003</v>
      </c>
      <c r="Z63" s="172" t="s">
        <v>85</v>
      </c>
      <c r="AA63" s="174"/>
      <c r="AB63" s="181" t="s">
        <v>288</v>
      </c>
      <c r="AC63" s="172"/>
      <c r="AD63" s="172"/>
      <c r="AE63" s="179" t="s">
        <v>288</v>
      </c>
      <c r="AF63" s="172"/>
      <c r="AG63" s="174"/>
      <c r="AH63" s="178" t="s">
        <v>288</v>
      </c>
      <c r="AI63" s="172"/>
      <c r="AJ63" s="174"/>
      <c r="AK63" s="176">
        <f>G63</f>
        <v>16.2</v>
      </c>
      <c r="AL63" s="172" t="s">
        <v>85</v>
      </c>
      <c r="AM63" s="174"/>
      <c r="AN63" s="177" t="s">
        <v>288</v>
      </c>
      <c r="AO63" s="44"/>
    </row>
    <row r="64" spans="1:41" s="120" customFormat="1" ht="15.75" x14ac:dyDescent="0.25">
      <c r="A64" s="115"/>
      <c r="B64" s="115"/>
      <c r="C64" s="116"/>
      <c r="D64" s="115"/>
      <c r="E64" s="116"/>
      <c r="F64" s="116"/>
      <c r="G64" s="117"/>
      <c r="H64" s="118"/>
      <c r="I64" s="115"/>
      <c r="J64" s="117"/>
      <c r="K64" s="115"/>
      <c r="L64" s="115"/>
      <c r="M64" s="119"/>
      <c r="N64" s="115"/>
      <c r="O64" s="115"/>
      <c r="P64" s="117"/>
      <c r="Q64" s="118"/>
      <c r="R64" s="115"/>
      <c r="S64" s="117"/>
      <c r="T64" s="118"/>
      <c r="V64" s="121"/>
      <c r="W64" s="118"/>
      <c r="Y64" s="121">
        <f>SUM(Y61:Y63)</f>
        <v>120.10500000000002</v>
      </c>
      <c r="Z64" s="118" t="s">
        <v>100</v>
      </c>
      <c r="AB64" s="122"/>
      <c r="AC64" s="118"/>
      <c r="AD64" s="118"/>
      <c r="AE64" s="123"/>
      <c r="AF64" s="118"/>
      <c r="AH64" s="121">
        <f>SUM(AH61:AH63)</f>
        <v>4.32</v>
      </c>
      <c r="AI64" s="118" t="s">
        <v>100</v>
      </c>
      <c r="AK64" s="122">
        <f>SUM(AK61:AK63)</f>
        <v>30.11</v>
      </c>
      <c r="AL64" s="118" t="s">
        <v>100</v>
      </c>
      <c r="AN64" s="124"/>
      <c r="AO64" s="118"/>
    </row>
    <row r="65" spans="1:41" x14ac:dyDescent="0.25">
      <c r="A65" s="27"/>
      <c r="B65" s="27"/>
      <c r="C65" s="30"/>
      <c r="D65" s="27"/>
      <c r="E65" s="30"/>
      <c r="F65" s="30"/>
      <c r="G65" s="33"/>
      <c r="H65" s="6"/>
      <c r="I65" s="27"/>
      <c r="J65" s="33"/>
      <c r="K65" s="27"/>
      <c r="L65" s="27"/>
      <c r="M65" s="35"/>
      <c r="N65" s="27"/>
      <c r="O65" s="27"/>
      <c r="P65" s="33"/>
      <c r="Q65" s="6"/>
      <c r="R65" s="27"/>
      <c r="S65" s="33"/>
      <c r="T65" s="6"/>
      <c r="W65" s="6"/>
      <c r="Z65" s="6"/>
      <c r="AB65" s="39"/>
      <c r="AC65" s="6"/>
      <c r="AD65" s="6"/>
      <c r="AE65" s="40"/>
      <c r="AF65" s="6"/>
      <c r="AI65" s="6"/>
      <c r="AK65" s="39"/>
      <c r="AL65" s="6"/>
      <c r="AN65" s="38"/>
      <c r="AO65" s="6"/>
    </row>
    <row r="66" spans="1:41" s="46" customFormat="1" ht="15.75" x14ac:dyDescent="0.25">
      <c r="A66" s="41" t="s">
        <v>267</v>
      </c>
      <c r="B66" s="41"/>
      <c r="C66" s="42" t="s">
        <v>240</v>
      </c>
      <c r="D66" s="41"/>
      <c r="E66" s="42" t="s">
        <v>4</v>
      </c>
      <c r="F66" s="42"/>
      <c r="G66" s="43">
        <v>8.0399999999999991</v>
      </c>
      <c r="H66" s="44" t="s">
        <v>85</v>
      </c>
      <c r="I66" s="41"/>
      <c r="J66" s="43">
        <v>12.13</v>
      </c>
      <c r="K66" s="41" t="s">
        <v>13</v>
      </c>
      <c r="L66" s="41"/>
      <c r="M66" s="45" t="s">
        <v>202</v>
      </c>
      <c r="N66" s="41" t="s">
        <v>12</v>
      </c>
      <c r="O66" s="41"/>
      <c r="P66" s="43">
        <f>1.8*0.9</f>
        <v>1.62</v>
      </c>
      <c r="Q66" s="44" t="s">
        <v>85</v>
      </c>
      <c r="R66" s="41"/>
      <c r="S66" s="43">
        <f>(1*2.6)+(0.8*2.25)</f>
        <v>4.4000000000000004</v>
      </c>
      <c r="T66" s="44" t="s">
        <v>85</v>
      </c>
      <c r="V66" s="47">
        <f>(J66+2.72)-(P66+S66)</f>
        <v>8.8300000000000018</v>
      </c>
      <c r="W66" s="44" t="s">
        <v>85</v>
      </c>
      <c r="Y66" s="47">
        <f>V66+((0.9*2+1.8)*0.2)</f>
        <v>9.5500000000000025</v>
      </c>
      <c r="Z66" s="44" t="s">
        <v>85</v>
      </c>
      <c r="AB66" s="131" t="s">
        <v>288</v>
      </c>
      <c r="AC66" s="44"/>
      <c r="AD66" s="44"/>
      <c r="AE66" s="49" t="s">
        <v>288</v>
      </c>
      <c r="AF66" s="44"/>
      <c r="AH66" s="47">
        <f>G66-5.93</f>
        <v>2.1099999999999994</v>
      </c>
      <c r="AI66" s="44" t="s">
        <v>85</v>
      </c>
      <c r="AK66" s="131" t="s">
        <v>288</v>
      </c>
      <c r="AL66" s="44"/>
      <c r="AN66" s="114" t="s">
        <v>288</v>
      </c>
      <c r="AO66" s="44"/>
    </row>
    <row r="67" spans="1:41" s="46" customFormat="1" ht="15.75" x14ac:dyDescent="0.25">
      <c r="A67" s="41" t="s">
        <v>268</v>
      </c>
      <c r="B67" s="41"/>
      <c r="C67" s="42" t="s">
        <v>214</v>
      </c>
      <c r="D67" s="41"/>
      <c r="E67" s="42" t="s">
        <v>4</v>
      </c>
      <c r="F67" s="42"/>
      <c r="G67" s="43">
        <v>1.66</v>
      </c>
      <c r="H67" s="44" t="s">
        <v>85</v>
      </c>
      <c r="I67" s="41"/>
      <c r="J67" s="43">
        <v>5.4</v>
      </c>
      <c r="K67" s="41" t="s">
        <v>13</v>
      </c>
      <c r="L67" s="41"/>
      <c r="M67" s="45" t="s">
        <v>199</v>
      </c>
      <c r="N67" s="41" t="s">
        <v>12</v>
      </c>
      <c r="O67" s="41"/>
      <c r="P67" s="112" t="s">
        <v>288</v>
      </c>
      <c r="Q67" s="44"/>
      <c r="R67" s="41"/>
      <c r="S67" s="43">
        <f>0.8*2.25</f>
        <v>1.8</v>
      </c>
      <c r="T67" s="44" t="s">
        <v>85</v>
      </c>
      <c r="V67" s="47">
        <f>(5.727*2.72)-S67</f>
        <v>13.777440000000002</v>
      </c>
      <c r="W67" s="44" t="s">
        <v>85</v>
      </c>
      <c r="Y67" s="47">
        <f>V67-(0.95*2.72)</f>
        <v>11.193440000000002</v>
      </c>
      <c r="Z67" s="44" t="s">
        <v>85</v>
      </c>
      <c r="AB67" s="98">
        <f>0.95*2.3</f>
        <v>2.1849999999999996</v>
      </c>
      <c r="AC67" s="44" t="s">
        <v>85</v>
      </c>
      <c r="AD67" s="44"/>
      <c r="AE67" s="49" t="s">
        <v>288</v>
      </c>
      <c r="AF67" s="44"/>
      <c r="AH67" s="48" t="s">
        <v>288</v>
      </c>
      <c r="AI67" s="44"/>
      <c r="AK67" s="98">
        <f>G67</f>
        <v>1.66</v>
      </c>
      <c r="AL67" s="44" t="s">
        <v>85</v>
      </c>
      <c r="AN67" s="114" t="s">
        <v>288</v>
      </c>
      <c r="AO67" s="44"/>
    </row>
    <row r="68" spans="1:41" s="46" customFormat="1" ht="15.75" x14ac:dyDescent="0.25">
      <c r="A68" s="41" t="s">
        <v>269</v>
      </c>
      <c r="B68" s="41"/>
      <c r="C68" s="42" t="s">
        <v>243</v>
      </c>
      <c r="D68" s="41"/>
      <c r="E68" s="42" t="s">
        <v>4</v>
      </c>
      <c r="F68" s="42"/>
      <c r="G68" s="43">
        <v>14.2</v>
      </c>
      <c r="H68" s="44" t="s">
        <v>85</v>
      </c>
      <c r="I68" s="41"/>
      <c r="J68" s="43">
        <v>15.77</v>
      </c>
      <c r="K68" s="41" t="s">
        <v>13</v>
      </c>
      <c r="L68" s="41"/>
      <c r="M68" s="45" t="s">
        <v>202</v>
      </c>
      <c r="N68" s="41" t="s">
        <v>12</v>
      </c>
      <c r="O68" s="41"/>
      <c r="P68" s="43">
        <f>2.4*0.6</f>
        <v>1.44</v>
      </c>
      <c r="Q68" s="44" t="s">
        <v>85</v>
      </c>
      <c r="R68" s="41"/>
      <c r="S68" s="43">
        <f>1*2.6</f>
        <v>2.6</v>
      </c>
      <c r="T68" s="44" t="s">
        <v>85</v>
      </c>
      <c r="V68" s="47">
        <f>(7.884*2.72)-(P68+S68)</f>
        <v>17.404480000000003</v>
      </c>
      <c r="W68" s="44" t="s">
        <v>85</v>
      </c>
      <c r="Y68" s="47">
        <f>V68+(2*0.6+2.4)*0.2</f>
        <v>18.124480000000002</v>
      </c>
      <c r="Z68" s="44" t="s">
        <v>85</v>
      </c>
      <c r="AB68" s="131" t="s">
        <v>288</v>
      </c>
      <c r="AC68" s="44"/>
      <c r="AD68" s="44"/>
      <c r="AE68" s="49" t="s">
        <v>288</v>
      </c>
      <c r="AF68" s="44"/>
      <c r="AH68" s="47">
        <f>G68</f>
        <v>14.2</v>
      </c>
      <c r="AI68" s="44" t="s">
        <v>85</v>
      </c>
      <c r="AK68" s="131" t="s">
        <v>288</v>
      </c>
      <c r="AL68" s="44"/>
      <c r="AN68" s="114" t="s">
        <v>288</v>
      </c>
      <c r="AO68" s="44"/>
    </row>
    <row r="69" spans="1:41" s="225" customFormat="1" ht="15.75" x14ac:dyDescent="0.25">
      <c r="A69" s="220" t="s">
        <v>270</v>
      </c>
      <c r="B69" s="220"/>
      <c r="C69" s="221" t="s">
        <v>245</v>
      </c>
      <c r="D69" s="220"/>
      <c r="E69" s="221" t="s">
        <v>4</v>
      </c>
      <c r="F69" s="221"/>
      <c r="G69" s="222">
        <v>12.26</v>
      </c>
      <c r="H69" s="44" t="s">
        <v>85</v>
      </c>
      <c r="I69" s="220"/>
      <c r="J69" s="222">
        <v>15.14</v>
      </c>
      <c r="K69" s="220" t="s">
        <v>13</v>
      </c>
      <c r="L69" s="220"/>
      <c r="M69" s="223" t="s">
        <v>202</v>
      </c>
      <c r="N69" s="220" t="s">
        <v>12</v>
      </c>
      <c r="O69" s="220"/>
      <c r="P69" s="224" t="s">
        <v>288</v>
      </c>
      <c r="Q69" s="44"/>
      <c r="R69" s="220"/>
      <c r="S69" s="224" t="s">
        <v>288</v>
      </c>
      <c r="T69" s="44"/>
      <c r="V69" s="226">
        <f>(9.443*2.72)</f>
        <v>25.68496</v>
      </c>
      <c r="W69" s="44" t="s">
        <v>85</v>
      </c>
      <c r="Y69" s="226">
        <f>V69-(4.9*2.72)</f>
        <v>12.356959999999999</v>
      </c>
      <c r="Z69" s="44" t="s">
        <v>85</v>
      </c>
      <c r="AB69" s="131">
        <f>(4.9*2.6)</f>
        <v>12.740000000000002</v>
      </c>
      <c r="AC69" s="44" t="s">
        <v>85</v>
      </c>
      <c r="AD69" s="44"/>
      <c r="AE69" s="49" t="s">
        <v>288</v>
      </c>
      <c r="AF69" s="44"/>
      <c r="AH69" s="226">
        <f>G69-AK69</f>
        <v>9.32</v>
      </c>
      <c r="AI69" s="44" t="s">
        <v>85</v>
      </c>
      <c r="AK69" s="131">
        <f>4.9*0.6</f>
        <v>2.94</v>
      </c>
      <c r="AL69" s="44" t="s">
        <v>85</v>
      </c>
      <c r="AN69" s="114" t="s">
        <v>288</v>
      </c>
      <c r="AO69" s="44"/>
    </row>
    <row r="70" spans="1:41" s="225" customFormat="1" ht="15.75" x14ac:dyDescent="0.25">
      <c r="A70" s="227" t="s">
        <v>271</v>
      </c>
      <c r="B70" s="227"/>
      <c r="C70" s="228" t="s">
        <v>217</v>
      </c>
      <c r="D70" s="227"/>
      <c r="E70" s="228" t="s">
        <v>4</v>
      </c>
      <c r="F70" s="228"/>
      <c r="G70" s="229">
        <v>30.65</v>
      </c>
      <c r="H70" s="172" t="s">
        <v>85</v>
      </c>
      <c r="I70" s="227"/>
      <c r="J70" s="229">
        <v>22.97</v>
      </c>
      <c r="K70" s="227" t="s">
        <v>13</v>
      </c>
      <c r="L70" s="227"/>
      <c r="M70" s="230" t="s">
        <v>202</v>
      </c>
      <c r="N70" s="227" t="s">
        <v>12</v>
      </c>
      <c r="O70" s="227"/>
      <c r="P70" s="229">
        <f>4.9*2.4</f>
        <v>11.76</v>
      </c>
      <c r="Q70" s="172" t="s">
        <v>85</v>
      </c>
      <c r="R70" s="227"/>
      <c r="S70" s="231" t="s">
        <v>288</v>
      </c>
      <c r="T70" s="172"/>
      <c r="U70" s="232"/>
      <c r="V70" s="233">
        <f>(19.443*2.72)-P70</f>
        <v>41.124960000000009</v>
      </c>
      <c r="W70" s="172" t="s">
        <v>85</v>
      </c>
      <c r="X70" s="232"/>
      <c r="Y70" s="233">
        <f>V70-(4.22*2.72)+((2.4*2+4.9)*0.2)</f>
        <v>31.586560000000009</v>
      </c>
      <c r="Z70" s="172" t="s">
        <v>85</v>
      </c>
      <c r="AA70" s="232"/>
      <c r="AB70" s="180">
        <f>4.22*2.6</f>
        <v>10.972</v>
      </c>
      <c r="AC70" s="172" t="s">
        <v>85</v>
      </c>
      <c r="AD70" s="172"/>
      <c r="AE70" s="179" t="s">
        <v>288</v>
      </c>
      <c r="AF70" s="172"/>
      <c r="AG70" s="232"/>
      <c r="AH70" s="233">
        <f>G70</f>
        <v>30.65</v>
      </c>
      <c r="AI70" s="172" t="s">
        <v>85</v>
      </c>
      <c r="AJ70" s="232"/>
      <c r="AK70" s="180" t="s">
        <v>288</v>
      </c>
      <c r="AL70" s="172"/>
      <c r="AM70" s="232"/>
      <c r="AN70" s="177" t="s">
        <v>288</v>
      </c>
      <c r="AO70" s="44"/>
    </row>
    <row r="71" spans="1:41" s="121" customFormat="1" ht="15.75" x14ac:dyDescent="0.25">
      <c r="A71" s="132"/>
      <c r="B71" s="132"/>
      <c r="C71" s="133"/>
      <c r="D71" s="132"/>
      <c r="E71" s="133"/>
      <c r="F71" s="133"/>
      <c r="G71" s="117"/>
      <c r="H71" s="134"/>
      <c r="I71" s="132"/>
      <c r="J71" s="117"/>
      <c r="K71" s="132"/>
      <c r="L71" s="132"/>
      <c r="M71" s="117"/>
      <c r="N71" s="132"/>
      <c r="O71" s="132"/>
      <c r="P71" s="117"/>
      <c r="Q71" s="134"/>
      <c r="R71" s="132"/>
      <c r="S71" s="117"/>
      <c r="T71" s="134"/>
      <c r="W71" s="134"/>
      <c r="Y71" s="121">
        <f>SUM(Y66:Y70)</f>
        <v>82.811440000000019</v>
      </c>
      <c r="Z71" s="118" t="s">
        <v>100</v>
      </c>
      <c r="AB71" s="122">
        <f>SUM(AB66:AB70)</f>
        <v>25.896999999999998</v>
      </c>
      <c r="AC71" s="118" t="s">
        <v>100</v>
      </c>
      <c r="AD71" s="134"/>
      <c r="AE71" s="135"/>
      <c r="AF71" s="134"/>
      <c r="AH71" s="121">
        <f>SUM(AH66:AH70)</f>
        <v>56.28</v>
      </c>
      <c r="AI71" s="118" t="s">
        <v>100</v>
      </c>
      <c r="AK71" s="122">
        <f>SUM(AK66:AK70)</f>
        <v>4.5999999999999996</v>
      </c>
      <c r="AL71" s="118" t="s">
        <v>100</v>
      </c>
      <c r="AN71" s="122"/>
      <c r="AO71" s="134"/>
    </row>
    <row r="72" spans="1:41" x14ac:dyDescent="0.25">
      <c r="A72" s="27"/>
      <c r="B72" s="27"/>
      <c r="C72" s="30"/>
      <c r="D72" s="27"/>
      <c r="E72" s="30"/>
      <c r="F72" s="30"/>
      <c r="G72" s="33"/>
      <c r="H72" s="6"/>
      <c r="I72" s="27"/>
      <c r="J72" s="33"/>
      <c r="K72" s="27"/>
      <c r="L72" s="27"/>
      <c r="M72" s="35"/>
      <c r="N72" s="27"/>
      <c r="O72" s="27"/>
      <c r="P72" s="33"/>
      <c r="Q72" s="6"/>
      <c r="R72" s="27"/>
      <c r="S72" s="33"/>
      <c r="T72" s="6"/>
      <c r="W72" s="6"/>
      <c r="Z72" s="6"/>
      <c r="AB72" s="39"/>
      <c r="AC72" s="6"/>
      <c r="AD72" s="6"/>
      <c r="AE72" s="40"/>
      <c r="AF72" s="6"/>
      <c r="AI72" s="6"/>
      <c r="AK72" s="39"/>
      <c r="AL72" s="6"/>
      <c r="AN72" s="38"/>
      <c r="AO72" s="6"/>
    </row>
    <row r="73" spans="1:41" s="46" customFormat="1" ht="15.75" x14ac:dyDescent="0.25">
      <c r="A73" s="41" t="s">
        <v>272</v>
      </c>
      <c r="B73" s="41"/>
      <c r="C73" s="42" t="s">
        <v>219</v>
      </c>
      <c r="D73" s="41"/>
      <c r="E73" s="42" t="s">
        <v>5</v>
      </c>
      <c r="F73" s="42"/>
      <c r="G73" s="43">
        <v>13.73</v>
      </c>
      <c r="H73" s="44" t="s">
        <v>85</v>
      </c>
      <c r="I73" s="41"/>
      <c r="J73" s="43">
        <v>20.83</v>
      </c>
      <c r="K73" s="41" t="s">
        <v>13</v>
      </c>
      <c r="L73" s="41"/>
      <c r="M73" s="45" t="s">
        <v>202</v>
      </c>
      <c r="N73" s="41" t="s">
        <v>12</v>
      </c>
      <c r="O73" s="41"/>
      <c r="P73" s="112" t="s">
        <v>288</v>
      </c>
      <c r="Q73" s="44"/>
      <c r="R73" s="41"/>
      <c r="S73" s="43">
        <f>(0.8*2.25)+(0.9*2.25*3)</f>
        <v>7.8749999999999991</v>
      </c>
      <c r="T73" s="44" t="s">
        <v>85</v>
      </c>
      <c r="V73" s="47">
        <f>(J73*2.72)-S73</f>
        <v>48.782600000000002</v>
      </c>
      <c r="W73" s="44" t="s">
        <v>85</v>
      </c>
      <c r="Y73" s="47">
        <f>V73</f>
        <v>48.782600000000002</v>
      </c>
      <c r="Z73" s="44" t="s">
        <v>85</v>
      </c>
      <c r="AB73" s="131">
        <f>1.1*0.3</f>
        <v>0.33</v>
      </c>
      <c r="AC73" s="44" t="s">
        <v>85</v>
      </c>
      <c r="AD73" s="44"/>
      <c r="AE73" s="114" t="s">
        <v>288</v>
      </c>
      <c r="AF73" s="44"/>
      <c r="AH73" s="47">
        <f>G73-(AK73+5.93)</f>
        <v>3.9543999999999997</v>
      </c>
      <c r="AI73" s="44" t="s">
        <v>85</v>
      </c>
      <c r="AK73" s="98">
        <f>1.1*3.496</f>
        <v>3.8456000000000001</v>
      </c>
      <c r="AL73" s="44" t="s">
        <v>85</v>
      </c>
      <c r="AN73" s="114" t="s">
        <v>288</v>
      </c>
      <c r="AO73" s="44"/>
    </row>
    <row r="74" spans="1:41" s="46" customFormat="1" ht="15.75" x14ac:dyDescent="0.25">
      <c r="A74" s="41" t="s">
        <v>273</v>
      </c>
      <c r="B74" s="41"/>
      <c r="C74" s="42" t="s">
        <v>226</v>
      </c>
      <c r="D74" s="41"/>
      <c r="E74" s="42" t="s">
        <v>5</v>
      </c>
      <c r="F74" s="42"/>
      <c r="G74" s="43">
        <v>12.16</v>
      </c>
      <c r="H74" s="44" t="s">
        <v>85</v>
      </c>
      <c r="I74" s="41"/>
      <c r="J74" s="43">
        <v>13.96</v>
      </c>
      <c r="K74" s="41" t="s">
        <v>13</v>
      </c>
      <c r="L74" s="41"/>
      <c r="M74" s="45" t="s">
        <v>202</v>
      </c>
      <c r="N74" s="41" t="s">
        <v>12</v>
      </c>
      <c r="O74" s="41"/>
      <c r="P74" s="43">
        <f>2.4*1.2</f>
        <v>2.88</v>
      </c>
      <c r="Q74" s="44" t="s">
        <v>85</v>
      </c>
      <c r="R74" s="41"/>
      <c r="S74" s="43">
        <f>0.9*2.25</f>
        <v>2.0249999999999999</v>
      </c>
      <c r="T74" s="44" t="s">
        <v>85</v>
      </c>
      <c r="V74" s="47">
        <f>(J74*2.72)-(P74+S74)</f>
        <v>33.066200000000002</v>
      </c>
      <c r="W74" s="44" t="s">
        <v>85</v>
      </c>
      <c r="Y74" s="47">
        <f>V74+(1.2*2+2.4)*0.2</f>
        <v>34.026200000000003</v>
      </c>
      <c r="Z74" s="44" t="s">
        <v>85</v>
      </c>
      <c r="AB74" s="131" t="s">
        <v>288</v>
      </c>
      <c r="AC74" s="44"/>
      <c r="AD74" s="44"/>
      <c r="AE74" s="114" t="s">
        <v>288</v>
      </c>
      <c r="AF74" s="44"/>
      <c r="AH74" s="47">
        <f>G74</f>
        <v>12.16</v>
      </c>
      <c r="AI74" s="44" t="s">
        <v>85</v>
      </c>
      <c r="AK74" s="131" t="s">
        <v>288</v>
      </c>
      <c r="AL74" s="44"/>
      <c r="AN74" s="114" t="s">
        <v>288</v>
      </c>
      <c r="AO74" s="44"/>
    </row>
    <row r="75" spans="1:41" s="46" customFormat="1" ht="15.75" x14ac:dyDescent="0.25">
      <c r="A75" s="41" t="s">
        <v>274</v>
      </c>
      <c r="B75" s="41"/>
      <c r="C75" s="42" t="s">
        <v>209</v>
      </c>
      <c r="D75" s="41"/>
      <c r="E75" s="42" t="s">
        <v>5</v>
      </c>
      <c r="F75" s="42"/>
      <c r="G75" s="43">
        <v>6.78</v>
      </c>
      <c r="H75" s="44" t="s">
        <v>85</v>
      </c>
      <c r="I75" s="41"/>
      <c r="J75" s="43">
        <v>11.2</v>
      </c>
      <c r="K75" s="41" t="s">
        <v>13</v>
      </c>
      <c r="L75" s="41"/>
      <c r="M75" s="45" t="s">
        <v>199</v>
      </c>
      <c r="N75" s="41" t="s">
        <v>12</v>
      </c>
      <c r="O75" s="41"/>
      <c r="P75" s="43">
        <f>1.8*0.6</f>
        <v>1.08</v>
      </c>
      <c r="Q75" s="44" t="s">
        <v>85</v>
      </c>
      <c r="R75" s="41"/>
      <c r="S75" s="112" t="s">
        <v>288</v>
      </c>
      <c r="T75" s="44"/>
      <c r="V75" s="47">
        <f>(10.286*2.72)-P75</f>
        <v>26.897919999999999</v>
      </c>
      <c r="W75" s="44" t="s">
        <v>85</v>
      </c>
      <c r="Y75" s="43">
        <f>V75-(3.7*2.72)+(0.6*2+1.8)*0.2</f>
        <v>17.433920000000001</v>
      </c>
      <c r="Z75" s="44" t="s">
        <v>85</v>
      </c>
      <c r="AB75" s="98">
        <f>3.7*2.3</f>
        <v>8.51</v>
      </c>
      <c r="AC75" s="44" t="s">
        <v>85</v>
      </c>
      <c r="AD75" s="44"/>
      <c r="AE75" s="114" t="s">
        <v>288</v>
      </c>
      <c r="AF75" s="44"/>
      <c r="AH75" s="48" t="s">
        <v>288</v>
      </c>
      <c r="AI75" s="44"/>
      <c r="AK75" s="98">
        <f>G75</f>
        <v>6.78</v>
      </c>
      <c r="AL75" s="44" t="s">
        <v>85</v>
      </c>
      <c r="AN75" s="114" t="s">
        <v>288</v>
      </c>
      <c r="AO75" s="44"/>
    </row>
    <row r="76" spans="1:41" s="46" customFormat="1" ht="15.75" x14ac:dyDescent="0.25">
      <c r="A76" s="41" t="s">
        <v>275</v>
      </c>
      <c r="B76" s="41"/>
      <c r="C76" s="42" t="s">
        <v>254</v>
      </c>
      <c r="D76" s="41"/>
      <c r="E76" s="42" t="s">
        <v>5</v>
      </c>
      <c r="F76" s="42"/>
      <c r="G76" s="43">
        <v>1.98</v>
      </c>
      <c r="H76" s="44" t="s">
        <v>85</v>
      </c>
      <c r="I76" s="41"/>
      <c r="J76" s="43">
        <v>5.8</v>
      </c>
      <c r="K76" s="41" t="s">
        <v>13</v>
      </c>
      <c r="L76" s="41"/>
      <c r="M76" s="45" t="s">
        <v>199</v>
      </c>
      <c r="N76" s="41" t="s">
        <v>12</v>
      </c>
      <c r="O76" s="41"/>
      <c r="P76" s="112" t="s">
        <v>288</v>
      </c>
      <c r="Q76" s="44"/>
      <c r="R76" s="41"/>
      <c r="S76" s="43">
        <f>0.8*2.25</f>
        <v>1.8</v>
      </c>
      <c r="T76" s="44" t="s">
        <v>85</v>
      </c>
      <c r="V76" s="43">
        <f>(4.875*2.72)-S76</f>
        <v>11.46</v>
      </c>
      <c r="W76" s="44" t="s">
        <v>85</v>
      </c>
      <c r="Y76" s="47">
        <f>V76-(1.1*2.72)</f>
        <v>8.468</v>
      </c>
      <c r="Z76" s="44" t="s">
        <v>85</v>
      </c>
      <c r="AB76" s="98">
        <f>(1.1*2.3)</f>
        <v>2.5299999999999998</v>
      </c>
      <c r="AC76" s="44" t="s">
        <v>85</v>
      </c>
      <c r="AD76" s="44"/>
      <c r="AE76" s="114" t="s">
        <v>288</v>
      </c>
      <c r="AF76" s="44"/>
      <c r="AH76" s="48" t="s">
        <v>288</v>
      </c>
      <c r="AI76" s="44"/>
      <c r="AK76" s="98">
        <f>G76</f>
        <v>1.98</v>
      </c>
      <c r="AL76" s="44" t="s">
        <v>85</v>
      </c>
      <c r="AN76" s="114" t="s">
        <v>288</v>
      </c>
      <c r="AO76" s="44"/>
    </row>
    <row r="77" spans="1:41" s="46" customFormat="1" ht="15.75" x14ac:dyDescent="0.25">
      <c r="A77" s="41" t="s">
        <v>276</v>
      </c>
      <c r="B77" s="41"/>
      <c r="C77" s="42" t="s">
        <v>223</v>
      </c>
      <c r="D77" s="41"/>
      <c r="E77" s="42" t="s">
        <v>5</v>
      </c>
      <c r="F77" s="42"/>
      <c r="G77" s="43">
        <v>15.04</v>
      </c>
      <c r="H77" s="44" t="s">
        <v>85</v>
      </c>
      <c r="I77" s="41"/>
      <c r="J77" s="43">
        <v>16.8</v>
      </c>
      <c r="K77" s="41" t="s">
        <v>13</v>
      </c>
      <c r="L77" s="41"/>
      <c r="M77" s="45" t="s">
        <v>202</v>
      </c>
      <c r="N77" s="41" t="s">
        <v>12</v>
      </c>
      <c r="O77" s="41"/>
      <c r="P77" s="43">
        <f>2.4*1.2</f>
        <v>2.88</v>
      </c>
      <c r="Q77" s="44" t="s">
        <v>85</v>
      </c>
      <c r="R77" s="41"/>
      <c r="S77" s="43">
        <f>0.9*2.25</f>
        <v>2.0249999999999999</v>
      </c>
      <c r="T77" s="44" t="s">
        <v>85</v>
      </c>
      <c r="V77" s="47">
        <f>(J77*2.72)-(P77+S77)</f>
        <v>40.791000000000004</v>
      </c>
      <c r="W77" s="44" t="s">
        <v>85</v>
      </c>
      <c r="Y77" s="47">
        <f>V77+(1.2*2+2.4)*0.2</f>
        <v>41.751000000000005</v>
      </c>
      <c r="Z77" s="44" t="s">
        <v>85</v>
      </c>
      <c r="AB77" s="98">
        <f>3.66*0.3</f>
        <v>1.0980000000000001</v>
      </c>
      <c r="AC77" s="44" t="s">
        <v>85</v>
      </c>
      <c r="AD77" s="44"/>
      <c r="AE77" s="114" t="s">
        <v>288</v>
      </c>
      <c r="AF77" s="44"/>
      <c r="AH77" s="99">
        <f>G77</f>
        <v>15.04</v>
      </c>
      <c r="AI77" s="44" t="s">
        <v>85</v>
      </c>
      <c r="AK77" s="98">
        <f>3.66*0.6</f>
        <v>2.1960000000000002</v>
      </c>
      <c r="AL77" s="44" t="s">
        <v>85</v>
      </c>
      <c r="AN77" s="114" t="s">
        <v>288</v>
      </c>
      <c r="AO77" s="44"/>
    </row>
    <row r="78" spans="1:41" s="46" customFormat="1" ht="15.75" x14ac:dyDescent="0.25">
      <c r="A78" s="170" t="s">
        <v>277</v>
      </c>
      <c r="B78" s="170"/>
      <c r="C78" s="171" t="s">
        <v>223</v>
      </c>
      <c r="D78" s="170"/>
      <c r="E78" s="171" t="s">
        <v>5</v>
      </c>
      <c r="F78" s="171"/>
      <c r="G78" s="169">
        <v>14.94</v>
      </c>
      <c r="H78" s="172" t="s">
        <v>85</v>
      </c>
      <c r="I78" s="170"/>
      <c r="J78" s="169">
        <v>16.75</v>
      </c>
      <c r="K78" s="170" t="s">
        <v>13</v>
      </c>
      <c r="L78" s="170"/>
      <c r="M78" s="173" t="s">
        <v>202</v>
      </c>
      <c r="N78" s="170" t="s">
        <v>12</v>
      </c>
      <c r="O78" s="170"/>
      <c r="P78" s="169">
        <f>1.8*1.8</f>
        <v>3.24</v>
      </c>
      <c r="Q78" s="172" t="s">
        <v>85</v>
      </c>
      <c r="R78" s="170"/>
      <c r="S78" s="169">
        <f>0.9*2.25</f>
        <v>2.0249999999999999</v>
      </c>
      <c r="T78" s="172" t="s">
        <v>85</v>
      </c>
      <c r="U78" s="174"/>
      <c r="V78" s="175">
        <f>(16.9*2.72)-(P78+S78)</f>
        <v>40.702999999999996</v>
      </c>
      <c r="W78" s="172" t="s">
        <v>85</v>
      </c>
      <c r="X78" s="174"/>
      <c r="Y78" s="175">
        <f>V78-(4.22*2.72)+(1.8*3*0.2)</f>
        <v>30.304599999999994</v>
      </c>
      <c r="Z78" s="172" t="s">
        <v>85</v>
      </c>
      <c r="AA78" s="174"/>
      <c r="AB78" s="176">
        <f>((4.22*2.6)+(3.555*0.3))</f>
        <v>12.038499999999999</v>
      </c>
      <c r="AC78" s="172" t="s">
        <v>85</v>
      </c>
      <c r="AD78" s="172"/>
      <c r="AE78" s="177" t="s">
        <v>288</v>
      </c>
      <c r="AF78" s="172"/>
      <c r="AG78" s="174"/>
      <c r="AH78" s="175">
        <f>G78</f>
        <v>14.94</v>
      </c>
      <c r="AI78" s="172" t="s">
        <v>85</v>
      </c>
      <c r="AJ78" s="174"/>
      <c r="AK78" s="176">
        <f>3.555*0.6</f>
        <v>2.133</v>
      </c>
      <c r="AL78" s="172" t="s">
        <v>85</v>
      </c>
      <c r="AM78" s="174"/>
      <c r="AN78" s="177" t="s">
        <v>288</v>
      </c>
      <c r="AO78" s="44"/>
    </row>
    <row r="79" spans="1:41" s="120" customFormat="1" ht="15.75" x14ac:dyDescent="0.25">
      <c r="A79" s="115"/>
      <c r="B79" s="115"/>
      <c r="C79" s="116"/>
      <c r="D79" s="115"/>
      <c r="E79" s="116"/>
      <c r="F79" s="116"/>
      <c r="G79" s="117"/>
      <c r="H79" s="118"/>
      <c r="I79" s="115"/>
      <c r="J79" s="117"/>
      <c r="K79" s="115"/>
      <c r="L79" s="115"/>
      <c r="M79" s="119"/>
      <c r="N79" s="115"/>
      <c r="O79" s="115"/>
      <c r="P79" s="117"/>
      <c r="Q79" s="118"/>
      <c r="R79" s="115"/>
      <c r="S79" s="117"/>
      <c r="T79" s="118"/>
      <c r="V79" s="121"/>
      <c r="W79" s="118"/>
      <c r="Y79" s="121">
        <f>SUM(Y73:Y78)</f>
        <v>180.76632000000001</v>
      </c>
      <c r="Z79" s="118" t="s">
        <v>100</v>
      </c>
      <c r="AB79" s="122">
        <f>SUM(AB73:AB78)</f>
        <v>24.506499999999999</v>
      </c>
      <c r="AC79" s="118" t="s">
        <v>100</v>
      </c>
      <c r="AD79" s="118"/>
      <c r="AE79" s="123"/>
      <c r="AF79" s="118"/>
      <c r="AH79" s="137">
        <f>SUM(AH73:AH78)</f>
        <v>46.0944</v>
      </c>
      <c r="AI79" s="118" t="s">
        <v>100</v>
      </c>
      <c r="AK79" s="122">
        <f>SUM(AK73:AK78)</f>
        <v>16.9346</v>
      </c>
      <c r="AL79" s="118" t="s">
        <v>100</v>
      </c>
      <c r="AN79" s="124"/>
      <c r="AO79" s="118"/>
    </row>
    <row r="80" spans="1:41" x14ac:dyDescent="0.25">
      <c r="A80" s="27"/>
      <c r="B80" s="27"/>
      <c r="C80" s="30"/>
      <c r="D80" s="27"/>
      <c r="E80" s="30"/>
      <c r="F80" s="30"/>
      <c r="G80" s="33"/>
      <c r="H80" s="6"/>
      <c r="I80" s="27"/>
      <c r="J80" s="33"/>
      <c r="K80" s="27"/>
      <c r="L80" s="27"/>
      <c r="M80" s="35"/>
      <c r="N80" s="27"/>
      <c r="O80" s="27"/>
      <c r="P80" s="33"/>
      <c r="Q80" s="6"/>
      <c r="R80" s="27"/>
      <c r="S80" s="33"/>
      <c r="T80" s="6"/>
      <c r="W80" s="6"/>
      <c r="Z80" s="6"/>
      <c r="AB80" s="39"/>
      <c r="AC80" s="6"/>
      <c r="AD80" s="6"/>
      <c r="AE80" s="40"/>
      <c r="AF80" s="6"/>
      <c r="AI80" s="6"/>
      <c r="AK80" s="39"/>
      <c r="AL80" s="6"/>
      <c r="AN80" s="38"/>
      <c r="AO80" s="6"/>
    </row>
    <row r="81" spans="1:41" s="46" customFormat="1" ht="15.75" x14ac:dyDescent="0.25">
      <c r="A81" s="220" t="s">
        <v>278</v>
      </c>
      <c r="B81" s="220"/>
      <c r="C81" s="221" t="s">
        <v>219</v>
      </c>
      <c r="D81" s="220"/>
      <c r="E81" s="221" t="s">
        <v>48</v>
      </c>
      <c r="F81" s="221"/>
      <c r="G81" s="222">
        <v>6.58</v>
      </c>
      <c r="H81" s="44" t="s">
        <v>85</v>
      </c>
      <c r="I81" s="220"/>
      <c r="J81" s="222">
        <v>12.06</v>
      </c>
      <c r="K81" s="220" t="s">
        <v>13</v>
      </c>
      <c r="L81" s="220"/>
      <c r="M81" s="223" t="s">
        <v>215</v>
      </c>
      <c r="N81" s="220" t="s">
        <v>12</v>
      </c>
      <c r="O81" s="220"/>
      <c r="P81" s="222">
        <f>(1.14*1.398)</f>
        <v>1.5937199999999998</v>
      </c>
      <c r="Q81" s="44" t="s">
        <v>85</v>
      </c>
      <c r="R81" s="220"/>
      <c r="S81" s="222">
        <f>(0.9*2.25)*2</f>
        <v>4.05</v>
      </c>
      <c r="T81" s="44" t="s">
        <v>85</v>
      </c>
      <c r="U81" s="225"/>
      <c r="V81" s="226">
        <f>(8.6*2)+(0.12*2.15)+(2.8*1.885)-S81</f>
        <v>18.685999999999996</v>
      </c>
      <c r="W81" s="44" t="s">
        <v>85</v>
      </c>
      <c r="X81" s="225"/>
      <c r="Y81" s="226">
        <f>V81</f>
        <v>18.685999999999996</v>
      </c>
      <c r="Z81" s="44" t="s">
        <v>85</v>
      </c>
      <c r="AA81" s="225"/>
      <c r="AB81" s="131" t="s">
        <v>288</v>
      </c>
      <c r="AC81" s="44"/>
      <c r="AD81" s="44"/>
      <c r="AE81" s="114" t="s">
        <v>288</v>
      </c>
      <c r="AF81" s="44"/>
      <c r="AG81" s="225"/>
      <c r="AH81" s="48" t="s">
        <v>288</v>
      </c>
      <c r="AI81" s="44"/>
      <c r="AJ81" s="225"/>
      <c r="AK81" s="131">
        <f>(3.5+(2.0665*3.881))-P81+(1.14*2*0.5)+(2*1.398*2*0.5)</f>
        <v>13.8623665</v>
      </c>
      <c r="AL81" s="44" t="s">
        <v>85</v>
      </c>
      <c r="AM81" s="225"/>
      <c r="AN81" s="114" t="s">
        <v>288</v>
      </c>
      <c r="AO81" s="44"/>
    </row>
    <row r="82" spans="1:41" s="46" customFormat="1" ht="15.75" x14ac:dyDescent="0.25">
      <c r="A82" s="220" t="s">
        <v>279</v>
      </c>
      <c r="B82" s="220"/>
      <c r="C82" s="221" t="s">
        <v>259</v>
      </c>
      <c r="D82" s="220"/>
      <c r="E82" s="221" t="s">
        <v>48</v>
      </c>
      <c r="F82" s="221"/>
      <c r="G82" s="222">
        <v>6.97</v>
      </c>
      <c r="H82" s="44" t="s">
        <v>85</v>
      </c>
      <c r="I82" s="220"/>
      <c r="J82" s="222">
        <v>10.57</v>
      </c>
      <c r="K82" s="220" t="s">
        <v>13</v>
      </c>
      <c r="L82" s="220"/>
      <c r="M82" s="223" t="s">
        <v>202</v>
      </c>
      <c r="N82" s="220" t="s">
        <v>12</v>
      </c>
      <c r="O82" s="220"/>
      <c r="P82" s="222">
        <f>(1.14*1.398)</f>
        <v>1.5937199999999998</v>
      </c>
      <c r="Q82" s="44" t="s">
        <v>85</v>
      </c>
      <c r="R82" s="220"/>
      <c r="S82" s="222">
        <f>(0.9*2.25)</f>
        <v>2.0249999999999999</v>
      </c>
      <c r="T82" s="44" t="s">
        <v>85</v>
      </c>
      <c r="U82" s="225"/>
      <c r="V82" s="226">
        <f>(6.74+6.77)+(0.72*2.512)+(2.8*2.655)-S82</f>
        <v>20.727640000000001</v>
      </c>
      <c r="W82" s="44" t="s">
        <v>85</v>
      </c>
      <c r="X82" s="225"/>
      <c r="Y82" s="226">
        <f>V82-(0.72*2.512)</f>
        <v>18.919</v>
      </c>
      <c r="Z82" s="44" t="s">
        <v>85</v>
      </c>
      <c r="AA82" s="225"/>
      <c r="AB82" s="226">
        <f>2.512*0.6</f>
        <v>1.5071999999999999</v>
      </c>
      <c r="AC82" s="44" t="s">
        <v>85</v>
      </c>
      <c r="AD82" s="44"/>
      <c r="AE82" s="114" t="s">
        <v>288</v>
      </c>
      <c r="AF82" s="44"/>
      <c r="AG82" s="225"/>
      <c r="AH82" s="48" t="s">
        <v>288</v>
      </c>
      <c r="AI82" s="44"/>
      <c r="AJ82" s="225"/>
      <c r="AK82" s="131">
        <f>(2.33+(3.248*2.581))-P82+(1.14*2*0.5)+(2*1.398*2*0.5)</f>
        <v>13.055368000000001</v>
      </c>
      <c r="AL82" s="44" t="s">
        <v>85</v>
      </c>
      <c r="AM82" s="225"/>
      <c r="AN82" s="114" t="s">
        <v>288</v>
      </c>
      <c r="AO82" s="44"/>
    </row>
    <row r="83" spans="1:41" s="46" customFormat="1" ht="15.75" x14ac:dyDescent="0.25">
      <c r="A83" s="220" t="s">
        <v>280</v>
      </c>
      <c r="B83" s="220"/>
      <c r="C83" s="221" t="s">
        <v>261</v>
      </c>
      <c r="D83" s="220"/>
      <c r="E83" s="221" t="s">
        <v>48</v>
      </c>
      <c r="F83" s="221"/>
      <c r="G83" s="222">
        <v>19.12</v>
      </c>
      <c r="H83" s="44" t="s">
        <v>85</v>
      </c>
      <c r="I83" s="220"/>
      <c r="J83" s="222">
        <v>20.324999999999999</v>
      </c>
      <c r="K83" s="220" t="s">
        <v>13</v>
      </c>
      <c r="L83" s="220"/>
      <c r="M83" s="223" t="s">
        <v>202</v>
      </c>
      <c r="N83" s="220" t="s">
        <v>12</v>
      </c>
      <c r="O83" s="220"/>
      <c r="P83" s="222">
        <f>(1.14*1.398)*2</f>
        <v>3.1874399999999996</v>
      </c>
      <c r="Q83" s="44" t="s">
        <v>85</v>
      </c>
      <c r="R83" s="220"/>
      <c r="S83" s="222">
        <f>(0.9*2.25)+(0.8*2.25)*2</f>
        <v>5.625</v>
      </c>
      <c r="T83" s="44" t="s">
        <v>85</v>
      </c>
      <c r="U83" s="225"/>
      <c r="V83" s="226">
        <f>(4.61*0.72)+(2.8*5.389)+(2*10.43)+(0.78*2.8)-S83</f>
        <v>35.827399999999997</v>
      </c>
      <c r="W83" s="44" t="s">
        <v>85</v>
      </c>
      <c r="X83" s="225"/>
      <c r="Y83" s="226">
        <f>V83-(10.43+(0.72*4.55))</f>
        <v>22.121399999999998</v>
      </c>
      <c r="Z83" s="44" t="s">
        <v>85</v>
      </c>
      <c r="AA83" s="225"/>
      <c r="AB83" s="256">
        <f>(9.9+(0.6*4.55))</f>
        <v>12.63</v>
      </c>
      <c r="AC83" s="44" t="s">
        <v>85</v>
      </c>
      <c r="AD83" s="44"/>
      <c r="AE83" s="114" t="s">
        <v>288</v>
      </c>
      <c r="AF83" s="44"/>
      <c r="AG83" s="225"/>
      <c r="AH83" s="48" t="s">
        <v>288</v>
      </c>
      <c r="AI83" s="44"/>
      <c r="AJ83" s="225"/>
      <c r="AK83" s="131">
        <f>(11.03+(3.248*4.55))-P83+(1.389*2*0.5)+(0.5*2*2.28)</f>
        <v>26.289960000000001</v>
      </c>
      <c r="AL83" s="44" t="s">
        <v>85</v>
      </c>
      <c r="AM83" s="225"/>
      <c r="AN83" s="114" t="s">
        <v>288</v>
      </c>
      <c r="AO83" s="44"/>
    </row>
    <row r="84" spans="1:41" s="46" customFormat="1" ht="15.75" x14ac:dyDescent="0.25">
      <c r="A84" s="220" t="s">
        <v>281</v>
      </c>
      <c r="B84" s="220"/>
      <c r="C84" s="221" t="s">
        <v>231</v>
      </c>
      <c r="D84" s="220"/>
      <c r="E84" s="221" t="s">
        <v>48</v>
      </c>
      <c r="F84" s="221"/>
      <c r="G84" s="222">
        <v>4.1900000000000004</v>
      </c>
      <c r="H84" s="44" t="s">
        <v>85</v>
      </c>
      <c r="I84" s="220"/>
      <c r="J84" s="222">
        <v>9.7249999999999996</v>
      </c>
      <c r="K84" s="220" t="s">
        <v>13</v>
      </c>
      <c r="L84" s="220"/>
      <c r="M84" s="223" t="s">
        <v>215</v>
      </c>
      <c r="N84" s="220" t="s">
        <v>12</v>
      </c>
      <c r="O84" s="220"/>
      <c r="P84" s="224" t="s">
        <v>288</v>
      </c>
      <c r="Q84" s="44"/>
      <c r="R84" s="220"/>
      <c r="S84" s="222">
        <f>0.8*2.25</f>
        <v>1.8</v>
      </c>
      <c r="T84" s="44" t="s">
        <v>85</v>
      </c>
      <c r="U84" s="225"/>
      <c r="V84" s="226">
        <f>(2*5.02 )+(0.72+2.8)*2.05-S84</f>
        <v>15.455999999999996</v>
      </c>
      <c r="W84" s="44" t="s">
        <v>85</v>
      </c>
      <c r="X84" s="225"/>
      <c r="Y84" s="226">
        <f>V84-(2.05*0.72)</f>
        <v>13.979999999999997</v>
      </c>
      <c r="Z84" s="44" t="s">
        <v>85</v>
      </c>
      <c r="AA84" s="225"/>
      <c r="AB84" s="256">
        <f>(2.05*0.6)</f>
        <v>1.2299999999999998</v>
      </c>
      <c r="AC84" s="44" t="s">
        <v>85</v>
      </c>
      <c r="AD84" s="44"/>
      <c r="AE84" s="114" t="s">
        <v>288</v>
      </c>
      <c r="AF84" s="44"/>
      <c r="AG84" s="225"/>
      <c r="AH84" s="48" t="s">
        <v>288</v>
      </c>
      <c r="AI84" s="44"/>
      <c r="AJ84" s="225"/>
      <c r="AK84" s="131">
        <f>(2.05*(2.923+0.51))</f>
        <v>7.0376499999999993</v>
      </c>
      <c r="AL84" s="44" t="s">
        <v>85</v>
      </c>
      <c r="AM84" s="225"/>
      <c r="AN84" s="114" t="s">
        <v>288</v>
      </c>
      <c r="AO84" s="44"/>
    </row>
    <row r="85" spans="1:41" s="46" customFormat="1" ht="15.75" x14ac:dyDescent="0.25">
      <c r="A85" s="227" t="s">
        <v>282</v>
      </c>
      <c r="B85" s="227"/>
      <c r="C85" s="228" t="s">
        <v>209</v>
      </c>
      <c r="D85" s="227"/>
      <c r="E85" s="228" t="s">
        <v>48</v>
      </c>
      <c r="F85" s="228"/>
      <c r="G85" s="229">
        <v>6.13</v>
      </c>
      <c r="H85" s="172" t="s">
        <v>85</v>
      </c>
      <c r="I85" s="227"/>
      <c r="J85" s="229">
        <v>10.414</v>
      </c>
      <c r="K85" s="227" t="s">
        <v>13</v>
      </c>
      <c r="L85" s="227"/>
      <c r="M85" s="230" t="s">
        <v>215</v>
      </c>
      <c r="N85" s="227" t="s">
        <v>12</v>
      </c>
      <c r="O85" s="227"/>
      <c r="P85" s="229">
        <f>0.942*0.978</f>
        <v>0.92127599999999998</v>
      </c>
      <c r="Q85" s="172" t="s">
        <v>85</v>
      </c>
      <c r="R85" s="227"/>
      <c r="S85" s="229">
        <f>0.8*2.25</f>
        <v>1.8</v>
      </c>
      <c r="T85" s="172" t="s">
        <v>85</v>
      </c>
      <c r="U85" s="232"/>
      <c r="V85" s="233">
        <f>(2*5.02 )+((0.72+2.8)*3.239)</f>
        <v>21.441279999999999</v>
      </c>
      <c r="W85" s="172" t="s">
        <v>85</v>
      </c>
      <c r="X85" s="232"/>
      <c r="Y85" s="233">
        <f>V85-(5.02+(0.72*3.239))</f>
        <v>14.0892</v>
      </c>
      <c r="Z85" s="172" t="s">
        <v>85</v>
      </c>
      <c r="AA85" s="232"/>
      <c r="AB85" s="233">
        <f>3.102*0.6+4.68</f>
        <v>6.5411999999999999</v>
      </c>
      <c r="AC85" s="172" t="s">
        <v>85</v>
      </c>
      <c r="AD85" s="172"/>
      <c r="AE85" s="177" t="s">
        <v>288</v>
      </c>
      <c r="AF85" s="172"/>
      <c r="AG85" s="232"/>
      <c r="AH85" s="178" t="s">
        <v>288</v>
      </c>
      <c r="AI85" s="172"/>
      <c r="AJ85" s="232"/>
      <c r="AK85" s="180">
        <f>(3.102*(2.923+0.51))-P85+(0.978*2*0.5)+(0.942*2*0.5)</f>
        <v>11.647889999999999</v>
      </c>
      <c r="AL85" s="172" t="s">
        <v>85</v>
      </c>
      <c r="AM85" s="232"/>
      <c r="AN85" s="177" t="s">
        <v>288</v>
      </c>
      <c r="AO85" s="44"/>
    </row>
    <row r="86" spans="1:41" s="120" customFormat="1" ht="15.75" x14ac:dyDescent="0.25">
      <c r="C86" s="182"/>
      <c r="D86" s="182"/>
      <c r="E86" s="183"/>
      <c r="F86" s="183"/>
      <c r="G86" s="184"/>
      <c r="J86" s="121"/>
      <c r="M86" s="185"/>
      <c r="P86" s="121"/>
      <c r="S86" s="121"/>
      <c r="V86" s="121"/>
      <c r="Y86" s="121">
        <f>SUM(Y81:Y85)</f>
        <v>87.795600000000007</v>
      </c>
      <c r="Z86" s="118" t="s">
        <v>100</v>
      </c>
      <c r="AB86" s="121">
        <f>SUM(AB81:AB85)</f>
        <v>21.9084</v>
      </c>
      <c r="AC86" s="118" t="s">
        <v>100</v>
      </c>
      <c r="AH86" s="121"/>
      <c r="AK86" s="121">
        <f>SUM(AK81:AK85)</f>
        <v>71.893234500000005</v>
      </c>
      <c r="AL86" s="118" t="s">
        <v>100</v>
      </c>
    </row>
    <row r="88" spans="1:41" s="191" customFormat="1" x14ac:dyDescent="0.2">
      <c r="C88" s="192"/>
      <c r="D88" s="192"/>
      <c r="E88" s="193"/>
      <c r="F88" s="193"/>
      <c r="G88" s="194"/>
      <c r="J88" s="195"/>
      <c r="M88" s="196"/>
      <c r="P88" s="195"/>
      <c r="S88" s="195"/>
      <c r="V88" s="195"/>
      <c r="Y88" s="195">
        <f>SUM(Y86,Y79,Y71,Y64,Y59,Y52,Y44,Y36,Y31,Y24,Y15,Y10,)</f>
        <v>1596.25324</v>
      </c>
      <c r="Z88" s="191" t="s">
        <v>100</v>
      </c>
      <c r="AB88" s="195">
        <f>SUM(AB86,AB79,AB71,AB64,AB59,AB52,AB44,AB36,AB31,AB24,AB15,AB10,)</f>
        <v>262.27009000000004</v>
      </c>
      <c r="AC88" s="191" t="s">
        <v>100</v>
      </c>
      <c r="AE88" s="195">
        <f>SUM(AE86,AE79,AE71,AE64,AE59,AE52,AE44,AE36,AE31,AE24,AE15,AE10,)</f>
        <v>114.15817000000001</v>
      </c>
      <c r="AF88" s="191" t="s">
        <v>100</v>
      </c>
      <c r="AH88" s="195">
        <f>SUM(AH86,AH79,AH71,AH64,AH59,AH52,AH44,AH36,AH31,AH24,AH15,AH10,)</f>
        <v>312.01439999999997</v>
      </c>
      <c r="AI88" s="191" t="s">
        <v>100</v>
      </c>
      <c r="AK88" s="195">
        <f>SUM(AK86,AK79,AK71,AK64,AK59,AK52,AK44,AK36,AK31,AK24,AK15,AK10,)</f>
        <v>420.01692450000002</v>
      </c>
      <c r="AL88" s="191" t="s">
        <v>100</v>
      </c>
      <c r="AN88" s="195">
        <f>SUM(AN86,AN79,AN71,AN64,AN59,AN52,AN44,AN36,AN31,AN24,AN15,AN10,)</f>
        <v>83.95</v>
      </c>
      <c r="AO88" s="191" t="s">
        <v>100</v>
      </c>
    </row>
  </sheetData>
  <mergeCells count="2">
    <mergeCell ref="Y3:AF3"/>
    <mergeCell ref="AH3:AO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B13" sqref="B13"/>
    </sheetView>
  </sheetViews>
  <sheetFormatPr defaultRowHeight="16.5" x14ac:dyDescent="0.3"/>
  <cols>
    <col min="1" max="1" width="9.140625" style="5"/>
    <col min="2" max="2" width="19.42578125" style="5" bestFit="1" customWidth="1"/>
    <col min="3" max="3" width="3.7109375" style="5" customWidth="1"/>
    <col min="4" max="4" width="6.5703125" style="186" bestFit="1" customWidth="1"/>
    <col min="5" max="5" width="3.5703125" style="5" bestFit="1" customWidth="1"/>
    <col min="6" max="6" width="3.7109375" style="5" customWidth="1"/>
    <col min="7" max="7" width="14.85546875" style="5" bestFit="1" customWidth="1"/>
    <col min="8" max="8" width="3.5703125" style="5" bestFit="1" customWidth="1"/>
    <col min="9" max="9" width="9.140625" style="5"/>
    <col min="10" max="10" width="17.28515625" style="5" bestFit="1" customWidth="1"/>
    <col min="11" max="11" width="3.5703125" style="5" bestFit="1" customWidth="1"/>
    <col min="12" max="12" width="9.140625" style="5"/>
    <col min="13" max="13" width="13.5703125" style="186" bestFit="1" customWidth="1"/>
    <col min="14" max="14" width="3.5703125" style="5" bestFit="1" customWidth="1"/>
    <col min="15" max="16384" width="9.140625" style="5"/>
  </cols>
  <sheetData>
    <row r="1" spans="1:19" x14ac:dyDescent="0.3">
      <c r="A1" s="6" t="s">
        <v>294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7"/>
      <c r="N1" s="6"/>
      <c r="O1" s="6"/>
      <c r="P1" s="6"/>
      <c r="Q1" s="6"/>
      <c r="R1" s="6"/>
      <c r="S1" s="6"/>
    </row>
    <row r="2" spans="1:19" x14ac:dyDescent="0.3">
      <c r="A2" s="6"/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</row>
    <row r="3" spans="1:19" x14ac:dyDescent="0.3"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6"/>
      <c r="R3" s="6"/>
      <c r="S3" s="6"/>
    </row>
    <row r="4" spans="1:19" ht="27.75" x14ac:dyDescent="0.3">
      <c r="B4" s="6"/>
      <c r="C4" s="6"/>
      <c r="D4" s="7"/>
      <c r="E4" s="6"/>
      <c r="F4" s="6"/>
      <c r="G4" s="22" t="s">
        <v>303</v>
      </c>
      <c r="H4" s="6"/>
      <c r="I4" s="6"/>
      <c r="J4" s="22" t="s">
        <v>304</v>
      </c>
      <c r="K4" s="6"/>
      <c r="L4" s="6"/>
      <c r="M4" s="21" t="s">
        <v>308</v>
      </c>
      <c r="N4" s="6"/>
      <c r="O4" s="6"/>
      <c r="P4" s="6"/>
      <c r="Q4" s="6"/>
      <c r="R4" s="6"/>
      <c r="S4" s="6"/>
    </row>
    <row r="5" spans="1:19" x14ac:dyDescent="0.3">
      <c r="A5" s="6" t="s">
        <v>21</v>
      </c>
      <c r="B5" s="6"/>
      <c r="C5" s="6"/>
      <c r="D5" s="7"/>
      <c r="E5" s="6"/>
      <c r="F5" s="6"/>
      <c r="G5" s="22"/>
      <c r="H5" s="6"/>
      <c r="I5" s="6"/>
      <c r="J5" s="22"/>
      <c r="K5" s="6"/>
      <c r="L5" s="6"/>
      <c r="M5" s="7"/>
      <c r="N5" s="6"/>
      <c r="O5" s="6"/>
      <c r="P5" s="6"/>
      <c r="Q5" s="6"/>
      <c r="R5" s="6"/>
      <c r="S5" s="6"/>
    </row>
    <row r="6" spans="1:19" x14ac:dyDescent="0.3">
      <c r="A6" s="6" t="s">
        <v>295</v>
      </c>
      <c r="B6" s="6" t="s">
        <v>296</v>
      </c>
      <c r="C6" s="6"/>
      <c r="D6" s="7">
        <v>98.49</v>
      </c>
      <c r="E6" s="6" t="s">
        <v>85</v>
      </c>
      <c r="F6" s="6"/>
      <c r="G6" s="6"/>
      <c r="H6" s="6"/>
      <c r="I6" s="6"/>
      <c r="J6" s="6"/>
      <c r="K6" s="6"/>
      <c r="L6" s="6"/>
      <c r="M6" s="7"/>
      <c r="N6" s="6"/>
      <c r="O6" s="6"/>
      <c r="P6" s="6"/>
      <c r="Q6" s="6"/>
      <c r="R6" s="6"/>
      <c r="S6" s="6"/>
    </row>
    <row r="7" spans="1:19" x14ac:dyDescent="0.3">
      <c r="A7" s="6" t="s">
        <v>298</v>
      </c>
      <c r="B7" s="6" t="s">
        <v>296</v>
      </c>
      <c r="C7" s="6"/>
      <c r="D7" s="7">
        <v>13.98</v>
      </c>
      <c r="E7" s="6" t="s">
        <v>85</v>
      </c>
      <c r="F7" s="6"/>
      <c r="G7" s="6"/>
      <c r="H7" s="6"/>
      <c r="I7" s="6"/>
      <c r="J7" s="6"/>
      <c r="K7" s="6"/>
      <c r="L7" s="6"/>
      <c r="M7" s="7"/>
      <c r="N7" s="6"/>
      <c r="O7" s="6"/>
      <c r="P7" s="6"/>
      <c r="Q7" s="6"/>
      <c r="R7" s="6"/>
      <c r="S7" s="6"/>
    </row>
    <row r="8" spans="1:19" x14ac:dyDescent="0.3">
      <c r="A8" s="6"/>
      <c r="B8" s="6"/>
      <c r="C8" s="6"/>
      <c r="D8" s="8">
        <f>SUM(D6:D7)</f>
        <v>112.47</v>
      </c>
      <c r="E8" s="9" t="s">
        <v>100</v>
      </c>
      <c r="F8" s="6"/>
      <c r="G8" s="6"/>
      <c r="H8" s="6"/>
      <c r="I8" s="6"/>
      <c r="J8" s="6"/>
      <c r="K8" s="6"/>
      <c r="L8" s="6"/>
      <c r="M8" s="7"/>
      <c r="N8" s="6"/>
      <c r="O8" s="6"/>
      <c r="P8" s="6"/>
      <c r="Q8" s="6"/>
      <c r="R8" s="6"/>
      <c r="S8" s="6"/>
    </row>
    <row r="9" spans="1:19" x14ac:dyDescent="0.3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7"/>
      <c r="N9" s="6"/>
      <c r="O9" s="6"/>
      <c r="P9" s="6"/>
      <c r="Q9" s="6"/>
      <c r="R9" s="6"/>
      <c r="S9" s="6"/>
    </row>
    <row r="10" spans="1:19" x14ac:dyDescent="0.3">
      <c r="A10" s="6" t="s">
        <v>297</v>
      </c>
      <c r="B10" s="6" t="s">
        <v>299</v>
      </c>
      <c r="C10" s="6"/>
      <c r="D10" s="7">
        <v>204.41</v>
      </c>
      <c r="E10" s="6" t="s">
        <v>85</v>
      </c>
      <c r="F10" s="6"/>
      <c r="G10" s="6"/>
      <c r="H10" s="6"/>
      <c r="I10" s="6"/>
      <c r="J10" s="6"/>
      <c r="K10" s="6"/>
      <c r="L10" s="6"/>
      <c r="M10" s="7"/>
      <c r="N10" s="6"/>
      <c r="O10" s="6"/>
      <c r="P10" s="6"/>
      <c r="Q10" s="6"/>
      <c r="R10" s="6"/>
      <c r="S10" s="6"/>
    </row>
    <row r="11" spans="1:19" x14ac:dyDescent="0.3">
      <c r="A11" s="6" t="s">
        <v>190</v>
      </c>
      <c r="B11" s="6" t="s">
        <v>299</v>
      </c>
      <c r="C11" s="6"/>
      <c r="D11" s="7">
        <v>1.24</v>
      </c>
      <c r="E11" s="6" t="s">
        <v>85</v>
      </c>
      <c r="F11" s="6"/>
      <c r="G11" s="6"/>
      <c r="H11" s="6"/>
      <c r="I11" s="6"/>
      <c r="J11" s="6"/>
      <c r="K11" s="6"/>
      <c r="L11" s="6"/>
      <c r="M11" s="7"/>
      <c r="N11" s="6"/>
      <c r="O11" s="6"/>
      <c r="P11" s="6"/>
      <c r="Q11" s="6"/>
      <c r="R11" s="6"/>
      <c r="S11" s="6"/>
    </row>
    <row r="12" spans="1:19" x14ac:dyDescent="0.3">
      <c r="A12" s="6" t="s">
        <v>385</v>
      </c>
      <c r="B12" s="6" t="s">
        <v>299</v>
      </c>
      <c r="C12" s="6"/>
      <c r="D12" s="7">
        <v>21.13</v>
      </c>
      <c r="E12" s="6" t="s">
        <v>85</v>
      </c>
      <c r="F12" s="6"/>
      <c r="G12" s="6"/>
      <c r="H12" s="6"/>
      <c r="I12" s="6"/>
      <c r="J12" s="6"/>
      <c r="K12" s="6"/>
      <c r="L12" s="6"/>
      <c r="M12" s="7"/>
      <c r="N12" s="6"/>
      <c r="O12" s="6"/>
      <c r="P12" s="6"/>
      <c r="Q12" s="6"/>
      <c r="R12" s="6"/>
      <c r="S12" s="6"/>
    </row>
    <row r="13" spans="1:19" x14ac:dyDescent="0.3">
      <c r="A13" s="6"/>
      <c r="B13" s="6"/>
      <c r="C13" s="6"/>
      <c r="D13" s="8">
        <f>SUM(D10:D12)</f>
        <v>226.78</v>
      </c>
      <c r="E13" s="9" t="s">
        <v>100</v>
      </c>
      <c r="F13" s="6"/>
      <c r="G13" s="6"/>
      <c r="H13" s="6"/>
      <c r="I13" s="6"/>
      <c r="J13" s="6"/>
      <c r="K13" s="6"/>
      <c r="L13" s="6"/>
      <c r="M13" s="7"/>
      <c r="N13" s="6"/>
      <c r="O13" s="6"/>
      <c r="P13" s="6"/>
      <c r="Q13" s="6"/>
      <c r="R13" s="6"/>
      <c r="S13" s="6"/>
    </row>
    <row r="14" spans="1:19" x14ac:dyDescent="0.3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7"/>
      <c r="N14" s="6"/>
      <c r="O14" s="6"/>
      <c r="P14" s="6"/>
      <c r="Q14" s="6"/>
      <c r="R14" s="6"/>
      <c r="S14" s="6"/>
    </row>
    <row r="15" spans="1:19" x14ac:dyDescent="0.3">
      <c r="A15" s="6" t="s">
        <v>300</v>
      </c>
      <c r="B15" s="6" t="s">
        <v>301</v>
      </c>
      <c r="C15" s="6"/>
      <c r="D15" s="7">
        <v>91.19</v>
      </c>
      <c r="E15" s="6" t="s">
        <v>85</v>
      </c>
      <c r="F15" s="6"/>
      <c r="G15" s="7">
        <f>D15</f>
        <v>91.19</v>
      </c>
      <c r="H15" s="6" t="s">
        <v>85</v>
      </c>
      <c r="I15" s="6"/>
      <c r="J15" s="6"/>
      <c r="K15" s="6"/>
      <c r="L15" s="6"/>
      <c r="M15" s="7"/>
      <c r="N15" s="6"/>
      <c r="O15" s="6"/>
      <c r="P15" s="6"/>
      <c r="Q15" s="6"/>
      <c r="R15" s="6"/>
      <c r="S15" s="6"/>
    </row>
    <row r="16" spans="1:19" x14ac:dyDescent="0.3">
      <c r="A16" s="6" t="s">
        <v>302</v>
      </c>
      <c r="B16" s="6" t="s">
        <v>301</v>
      </c>
      <c r="C16" s="6"/>
      <c r="D16" s="7">
        <v>76.36</v>
      </c>
      <c r="E16" s="6" t="s">
        <v>85</v>
      </c>
      <c r="F16" s="6"/>
      <c r="G16" s="6"/>
      <c r="H16" s="6"/>
      <c r="I16" s="6"/>
      <c r="J16" s="7">
        <f>D16</f>
        <v>76.36</v>
      </c>
      <c r="K16" s="6" t="s">
        <v>85</v>
      </c>
      <c r="L16" s="6"/>
      <c r="M16" s="7"/>
      <c r="N16" s="6"/>
      <c r="O16" s="6"/>
      <c r="P16" s="6"/>
      <c r="Q16" s="6"/>
      <c r="R16" s="6"/>
      <c r="S16" s="6"/>
    </row>
    <row r="17" spans="1:19" s="187" customFormat="1" ht="15" x14ac:dyDescent="0.2">
      <c r="A17" s="9"/>
      <c r="B17" s="9"/>
      <c r="C17" s="9"/>
      <c r="D17" s="8">
        <f>SUM(D15:D16)</f>
        <v>167.55</v>
      </c>
      <c r="E17" s="9" t="s">
        <v>100</v>
      </c>
      <c r="F17" s="9"/>
      <c r="G17" s="9"/>
      <c r="H17" s="9"/>
      <c r="I17" s="9"/>
      <c r="J17" s="9"/>
      <c r="K17" s="9"/>
      <c r="L17" s="9"/>
      <c r="M17" s="8"/>
      <c r="N17" s="9"/>
      <c r="O17" s="9"/>
      <c r="P17" s="9"/>
      <c r="Q17" s="9"/>
      <c r="R17" s="9"/>
      <c r="S17" s="9"/>
    </row>
    <row r="18" spans="1:19" x14ac:dyDescent="0.3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7"/>
      <c r="N18" s="6"/>
      <c r="O18" s="6"/>
      <c r="P18" s="6"/>
      <c r="Q18" s="6"/>
      <c r="R18" s="6"/>
      <c r="S18" s="6"/>
    </row>
    <row r="19" spans="1:19" x14ac:dyDescent="0.3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7"/>
      <c r="N19" s="6"/>
      <c r="O19" s="6"/>
      <c r="P19" s="6"/>
      <c r="Q19" s="6"/>
      <c r="R19" s="6"/>
      <c r="S19" s="6"/>
    </row>
    <row r="20" spans="1:19" x14ac:dyDescent="0.3">
      <c r="A20" s="6" t="s">
        <v>305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7"/>
      <c r="N20" s="6"/>
      <c r="O20" s="6"/>
      <c r="P20" s="6"/>
      <c r="Q20" s="6"/>
      <c r="R20" s="6"/>
      <c r="S20" s="6"/>
    </row>
    <row r="21" spans="1:19" x14ac:dyDescent="0.3">
      <c r="A21" s="6" t="s">
        <v>183</v>
      </c>
      <c r="B21" s="6" t="s">
        <v>299</v>
      </c>
      <c r="C21" s="6"/>
      <c r="D21" s="8">
        <v>57.74</v>
      </c>
      <c r="E21" s="9" t="s">
        <v>100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6"/>
      <c r="Q21" s="6"/>
      <c r="R21" s="6"/>
      <c r="S21" s="6"/>
    </row>
    <row r="22" spans="1:19" x14ac:dyDescent="0.3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6"/>
      <c r="Q22" s="6"/>
      <c r="R22" s="6"/>
      <c r="S22" s="6"/>
    </row>
    <row r="23" spans="1:19" x14ac:dyDescent="0.3">
      <c r="A23" s="6" t="s">
        <v>184</v>
      </c>
      <c r="B23" s="6" t="s">
        <v>301</v>
      </c>
      <c r="C23" s="6"/>
      <c r="D23" s="8">
        <v>50.14</v>
      </c>
      <c r="E23" s="9" t="s">
        <v>100</v>
      </c>
      <c r="F23" s="6"/>
      <c r="G23" s="7">
        <f>D23</f>
        <v>50.14</v>
      </c>
      <c r="H23" s="6" t="s">
        <v>85</v>
      </c>
      <c r="I23" s="6"/>
      <c r="J23" s="6"/>
      <c r="K23" s="6"/>
      <c r="L23" s="6"/>
      <c r="M23" s="7"/>
      <c r="N23" s="6"/>
      <c r="O23" s="6"/>
      <c r="P23" s="6"/>
      <c r="Q23" s="6"/>
      <c r="R23" s="6"/>
      <c r="S23" s="6"/>
    </row>
    <row r="24" spans="1:19" x14ac:dyDescent="0.3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7"/>
      <c r="N24" s="6"/>
      <c r="O24" s="6"/>
      <c r="P24" s="6"/>
      <c r="Q24" s="6"/>
      <c r="R24" s="6"/>
      <c r="S24" s="6"/>
    </row>
    <row r="25" spans="1:19" x14ac:dyDescent="0.3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7"/>
      <c r="N25" s="6"/>
      <c r="O25" s="6"/>
      <c r="P25" s="6"/>
      <c r="Q25" s="6"/>
      <c r="R25" s="6"/>
      <c r="S25" s="6"/>
    </row>
    <row r="26" spans="1:19" x14ac:dyDescent="0.3">
      <c r="A26" s="6" t="s">
        <v>306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7"/>
      <c r="N26" s="6"/>
      <c r="O26" s="6"/>
      <c r="P26" s="6"/>
      <c r="Q26" s="6"/>
      <c r="R26" s="6"/>
      <c r="S26" s="6"/>
    </row>
    <row r="27" spans="1:19" x14ac:dyDescent="0.3">
      <c r="A27" s="6" t="s">
        <v>307</v>
      </c>
      <c r="B27" s="6" t="s">
        <v>301</v>
      </c>
      <c r="C27" s="6"/>
      <c r="D27" s="8">
        <v>128.13900000000001</v>
      </c>
      <c r="E27" s="9" t="s">
        <v>100</v>
      </c>
      <c r="F27" s="6"/>
      <c r="G27" s="7">
        <f>D27</f>
        <v>128.13900000000001</v>
      </c>
      <c r="H27" s="6" t="s">
        <v>85</v>
      </c>
      <c r="I27" s="6"/>
      <c r="J27" s="6"/>
      <c r="K27" s="6"/>
      <c r="L27" s="6"/>
      <c r="M27" s="7">
        <f>G27-((6.715*4*0.3)+(2*0.38*10.074))</f>
        <v>112.42476000000001</v>
      </c>
      <c r="N27" s="6" t="s">
        <v>85</v>
      </c>
      <c r="O27" s="6"/>
      <c r="P27" s="6"/>
      <c r="Q27" s="6"/>
      <c r="R27" s="6"/>
      <c r="S27" s="6"/>
    </row>
    <row r="28" spans="1:19" x14ac:dyDescent="0.3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7"/>
      <c r="N28" s="6"/>
      <c r="O28" s="6"/>
      <c r="P28" s="6"/>
      <c r="Q28" s="6"/>
      <c r="R28" s="6"/>
      <c r="S28" s="6"/>
    </row>
    <row r="29" spans="1:19" x14ac:dyDescent="0.3">
      <c r="A29" s="6" t="s">
        <v>309</v>
      </c>
      <c r="B29" s="6" t="s">
        <v>310</v>
      </c>
      <c r="C29" s="6"/>
      <c r="D29" s="8">
        <v>202.79</v>
      </c>
      <c r="E29" s="9" t="s">
        <v>100</v>
      </c>
      <c r="F29" s="6"/>
      <c r="I29" s="6"/>
      <c r="J29" s="6"/>
      <c r="K29" s="6"/>
      <c r="L29" s="6"/>
      <c r="M29" s="7">
        <f>D29</f>
        <v>202.79</v>
      </c>
      <c r="N29" s="6" t="s">
        <v>85</v>
      </c>
      <c r="O29" s="6"/>
      <c r="P29" s="6"/>
      <c r="Q29" s="6"/>
      <c r="R29" s="6"/>
      <c r="S29" s="6"/>
    </row>
    <row r="30" spans="1:19" x14ac:dyDescent="0.3">
      <c r="A30" s="188"/>
      <c r="B30" s="188"/>
      <c r="C30" s="188"/>
      <c r="D30" s="189"/>
      <c r="E30" s="188"/>
      <c r="F30" s="188"/>
      <c r="G30" s="190"/>
      <c r="H30" s="190"/>
      <c r="I30" s="190"/>
      <c r="J30" s="190"/>
      <c r="K30" s="190"/>
      <c r="L30" s="188"/>
      <c r="M30" s="189">
        <f>M29-((0.29*(19.674+17.324))+(11.88*0.2*2))</f>
        <v>187.30857999999998</v>
      </c>
      <c r="N30" s="188" t="s">
        <v>85</v>
      </c>
      <c r="O30" s="6"/>
      <c r="P30" s="6"/>
      <c r="Q30" s="6"/>
      <c r="R30" s="6"/>
      <c r="S30" s="6"/>
    </row>
    <row r="31" spans="1:19" x14ac:dyDescent="0.3">
      <c r="A31" s="6"/>
      <c r="B31" s="6"/>
      <c r="C31" s="6"/>
      <c r="D31" s="7"/>
      <c r="E31" s="6"/>
      <c r="F31" s="6"/>
      <c r="G31" s="8">
        <f>SUM(G15:G27)</f>
        <v>269.46899999999999</v>
      </c>
      <c r="H31" s="9" t="s">
        <v>100</v>
      </c>
      <c r="I31" s="9"/>
      <c r="J31" s="8">
        <f>SUM(J16)</f>
        <v>76.36</v>
      </c>
      <c r="K31" s="9" t="s">
        <v>100</v>
      </c>
      <c r="L31" s="9"/>
      <c r="M31" s="8">
        <f>SUM(M27:M30)</f>
        <v>502.52333999999996</v>
      </c>
      <c r="N31" s="9" t="s">
        <v>100</v>
      </c>
      <c r="O31" s="6"/>
      <c r="P31" s="6"/>
      <c r="Q31" s="6"/>
      <c r="R31" s="6"/>
      <c r="S31" s="6"/>
    </row>
    <row r="32" spans="1:19" x14ac:dyDescent="0.3">
      <c r="A32" s="6"/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7"/>
      <c r="N32" s="6"/>
      <c r="O32" s="6"/>
      <c r="P32" s="6"/>
      <c r="Q32" s="6"/>
      <c r="R32" s="6"/>
      <c r="S32" s="6"/>
    </row>
    <row r="33" spans="1:19" x14ac:dyDescent="0.3">
      <c r="A33" s="6"/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7"/>
      <c r="N33" s="6"/>
      <c r="O33" s="6"/>
      <c r="P33" s="6"/>
      <c r="Q33" s="6"/>
      <c r="R33" s="6"/>
      <c r="S33" s="6"/>
    </row>
    <row r="34" spans="1:19" x14ac:dyDescent="0.3">
      <c r="A34" s="6"/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7"/>
      <c r="N34" s="6"/>
      <c r="O34" s="6"/>
      <c r="P34" s="6"/>
      <c r="Q34" s="6"/>
      <c r="R34" s="6"/>
      <c r="S34" s="6"/>
    </row>
    <row r="35" spans="1:19" x14ac:dyDescent="0.3">
      <c r="A35" s="6"/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7"/>
      <c r="N35" s="6"/>
      <c r="O35" s="6"/>
      <c r="P35" s="6"/>
      <c r="Q35" s="6"/>
      <c r="R35" s="6"/>
      <c r="S35" s="6"/>
    </row>
    <row r="36" spans="1:19" x14ac:dyDescent="0.3">
      <c r="A36" s="6"/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6"/>
      <c r="Q36" s="6"/>
      <c r="R36" s="6"/>
      <c r="S36" s="6"/>
    </row>
    <row r="37" spans="1:19" x14ac:dyDescent="0.3">
      <c r="A37" s="6"/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7"/>
      <c r="N37" s="6"/>
      <c r="O37" s="6"/>
      <c r="P37" s="6"/>
      <c r="Q37" s="6"/>
      <c r="R37" s="6"/>
      <c r="S37" s="6"/>
    </row>
    <row r="38" spans="1:19" x14ac:dyDescent="0.3">
      <c r="A38" s="6"/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7"/>
      <c r="N38" s="6"/>
      <c r="O38" s="6"/>
      <c r="P38" s="6"/>
      <c r="Q38" s="6"/>
      <c r="R38" s="6"/>
      <c r="S38" s="6"/>
    </row>
    <row r="39" spans="1:19" x14ac:dyDescent="0.3">
      <c r="A39" s="6"/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7"/>
      <c r="N39" s="6"/>
      <c r="O39" s="6"/>
      <c r="P39" s="6"/>
      <c r="Q39" s="6"/>
      <c r="R39" s="6"/>
      <c r="S39" s="6"/>
    </row>
    <row r="40" spans="1:19" x14ac:dyDescent="0.3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7"/>
      <c r="N40" s="6"/>
      <c r="O40" s="6"/>
      <c r="P40" s="6"/>
      <c r="Q40" s="6"/>
      <c r="R40" s="6"/>
      <c r="S40" s="6"/>
    </row>
    <row r="41" spans="1:19" x14ac:dyDescent="0.3">
      <c r="A41" s="6"/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7"/>
      <c r="N41" s="6"/>
      <c r="O41" s="6"/>
      <c r="P41" s="6"/>
      <c r="Q41" s="6"/>
      <c r="R41" s="6"/>
      <c r="S41" s="6"/>
    </row>
    <row r="42" spans="1:19" x14ac:dyDescent="0.3">
      <c r="A42" s="6"/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7"/>
      <c r="N42" s="6"/>
      <c r="O42" s="6"/>
      <c r="P42" s="6"/>
      <c r="Q42" s="6"/>
      <c r="R42" s="6"/>
      <c r="S42" s="6"/>
    </row>
    <row r="43" spans="1:19" x14ac:dyDescent="0.3">
      <c r="A43" s="6"/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7"/>
      <c r="N43" s="6"/>
      <c r="O43" s="6"/>
      <c r="P43" s="6"/>
      <c r="Q43" s="6"/>
      <c r="R43" s="6"/>
      <c r="S43" s="6"/>
    </row>
    <row r="44" spans="1:19" x14ac:dyDescent="0.3">
      <c r="A44" s="6"/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7"/>
      <c r="N44" s="6"/>
      <c r="O44" s="6"/>
      <c r="P44" s="6"/>
      <c r="Q44" s="6"/>
      <c r="R44" s="6"/>
      <c r="S44" s="6"/>
    </row>
    <row r="45" spans="1:19" x14ac:dyDescent="0.3">
      <c r="A45" s="6"/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7"/>
      <c r="N45" s="6"/>
      <c r="O45" s="6"/>
      <c r="P45" s="6"/>
      <c r="Q45" s="6"/>
      <c r="R45" s="6"/>
      <c r="S45" s="6"/>
    </row>
    <row r="46" spans="1:19" x14ac:dyDescent="0.3">
      <c r="A46" s="6"/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7"/>
      <c r="N46" s="6"/>
      <c r="O46" s="6"/>
      <c r="P46" s="6"/>
      <c r="Q46" s="6"/>
      <c r="R46" s="6"/>
      <c r="S46" s="6"/>
    </row>
    <row r="47" spans="1:19" x14ac:dyDescent="0.3">
      <c r="A47" s="6"/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7"/>
      <c r="N47" s="6"/>
      <c r="O47" s="6"/>
      <c r="P47" s="6"/>
      <c r="Q47" s="6"/>
      <c r="R47" s="6"/>
      <c r="S47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24" sqref="M24"/>
    </sheetView>
  </sheetViews>
  <sheetFormatPr defaultRowHeight="15" x14ac:dyDescent="0.25"/>
  <sheetData>
    <row r="1" spans="1:10" x14ac:dyDescent="0.25">
      <c r="A1" s="6" t="s">
        <v>386</v>
      </c>
      <c r="B1" s="6"/>
      <c r="C1" s="6"/>
      <c r="D1" s="6"/>
      <c r="E1" s="6"/>
      <c r="F1" s="6"/>
      <c r="G1" s="7"/>
      <c r="H1" s="6"/>
    </row>
    <row r="2" spans="1:10" x14ac:dyDescent="0.25">
      <c r="A2" s="6"/>
      <c r="B2" s="6"/>
      <c r="C2" s="6"/>
      <c r="D2" s="6"/>
      <c r="E2" s="6"/>
      <c r="F2" s="6"/>
      <c r="G2" s="7"/>
      <c r="H2" s="6"/>
    </row>
    <row r="3" spans="1:10" ht="15.75" x14ac:dyDescent="0.25">
      <c r="A3" s="6" t="s">
        <v>387</v>
      </c>
      <c r="B3" s="6"/>
      <c r="C3" s="6"/>
      <c r="D3" s="6"/>
      <c r="E3" s="6"/>
      <c r="F3" s="6"/>
      <c r="G3" s="7">
        <f>(31602.16-(26135.53+2670.19+2014.26))</f>
        <v>782.18000000000393</v>
      </c>
      <c r="H3" s="6" t="s">
        <v>86</v>
      </c>
      <c r="I3" s="1"/>
      <c r="J3" s="1"/>
    </row>
    <row r="4" spans="1:10" x14ac:dyDescent="0.25">
      <c r="A4" s="12"/>
      <c r="B4" s="12"/>
      <c r="C4" s="12"/>
      <c r="D4" s="12"/>
      <c r="E4" s="12"/>
      <c r="F4" s="12"/>
      <c r="G4" s="257"/>
      <c r="H4" s="12"/>
      <c r="I4" s="258"/>
    </row>
    <row r="5" spans="1:10" ht="15.75" x14ac:dyDescent="0.25">
      <c r="A5" s="6" t="s">
        <v>388</v>
      </c>
      <c r="B5" s="6"/>
      <c r="C5" s="6"/>
      <c r="D5" s="6"/>
      <c r="E5" s="6"/>
      <c r="F5" s="6"/>
      <c r="G5" s="7">
        <v>12.75</v>
      </c>
      <c r="H5" s="6" t="s">
        <v>86</v>
      </c>
      <c r="I5" s="1"/>
      <c r="J5" s="1"/>
    </row>
    <row r="6" spans="1:10" x14ac:dyDescent="0.25">
      <c r="A6" s="258"/>
      <c r="B6" s="258"/>
      <c r="C6" s="258"/>
      <c r="D6" s="258"/>
      <c r="E6" s="258"/>
      <c r="F6" s="258"/>
      <c r="G6" s="258"/>
      <c r="H6" s="258"/>
      <c r="I6" s="258"/>
    </row>
    <row r="7" spans="1:10" ht="15.75" x14ac:dyDescent="0.25">
      <c r="A7" s="1" t="s">
        <v>389</v>
      </c>
      <c r="B7" s="1"/>
      <c r="C7" s="1"/>
      <c r="D7" s="1"/>
      <c r="E7" s="1"/>
      <c r="F7" s="1"/>
      <c r="G7" s="7">
        <f>(31602.16-(31047.66+459.11))</f>
        <v>95.389999999999418</v>
      </c>
      <c r="H7" s="6" t="s">
        <v>86</v>
      </c>
      <c r="I7" s="1"/>
      <c r="J7" s="1"/>
    </row>
    <row r="8" spans="1:10" x14ac:dyDescent="0.25">
      <c r="A8" s="258"/>
      <c r="B8" s="258"/>
      <c r="C8" s="258"/>
      <c r="D8" s="258"/>
      <c r="E8" s="258"/>
      <c r="F8" s="258"/>
      <c r="G8" s="258"/>
      <c r="H8" s="258"/>
      <c r="I8" s="258"/>
    </row>
    <row r="9" spans="1:10" ht="15.75" x14ac:dyDescent="0.25">
      <c r="A9" s="1" t="s">
        <v>390</v>
      </c>
      <c r="B9" s="1"/>
      <c r="C9" s="1"/>
      <c r="D9" s="1"/>
      <c r="E9" s="1"/>
      <c r="F9" s="1"/>
      <c r="G9" s="7">
        <f>(31602.16-(30628.55+787.84))</f>
        <v>185.77000000000044</v>
      </c>
      <c r="H9" s="6" t="s">
        <v>86</v>
      </c>
      <c r="I9" s="1"/>
      <c r="J9" s="1"/>
    </row>
    <row r="10" spans="1:10" x14ac:dyDescent="0.25">
      <c r="A10" s="258"/>
      <c r="B10" s="258"/>
      <c r="C10" s="258"/>
      <c r="D10" s="258"/>
      <c r="E10" s="258"/>
      <c r="F10" s="258"/>
      <c r="G10" s="258"/>
      <c r="H10" s="258"/>
      <c r="I10" s="258"/>
      <c r="J10" s="258"/>
    </row>
    <row r="11" spans="1:10" ht="15.75" x14ac:dyDescent="0.25">
      <c r="A11" s="1" t="s">
        <v>391</v>
      </c>
      <c r="B11" s="1"/>
      <c r="C11" s="1"/>
      <c r="D11" s="1"/>
      <c r="E11" s="1"/>
      <c r="F11" s="1"/>
      <c r="G11" s="7">
        <f>(31602.16-(29518.05+1569.14+291.87))</f>
        <v>223.10000000000218</v>
      </c>
      <c r="H11" s="6" t="s">
        <v>86</v>
      </c>
      <c r="I11" s="1"/>
      <c r="J11" s="1"/>
    </row>
    <row r="12" spans="1:10" x14ac:dyDescent="0.25">
      <c r="A12" s="258"/>
      <c r="B12" s="258"/>
      <c r="C12" s="258"/>
      <c r="D12" s="258"/>
      <c r="E12" s="258"/>
      <c r="F12" s="258"/>
      <c r="G12" s="258"/>
      <c r="H12" s="258"/>
      <c r="I12" s="258"/>
      <c r="J12" s="258"/>
    </row>
    <row r="13" spans="1:10" ht="15.75" x14ac:dyDescent="0.25">
      <c r="A13" s="1" t="s">
        <v>392</v>
      </c>
      <c r="B13" s="1"/>
      <c r="C13" s="1"/>
      <c r="D13" s="1"/>
      <c r="E13" s="1"/>
      <c r="F13" s="1"/>
      <c r="G13" s="7">
        <f>(31602.16-(29998.19+(150.88+105.97+135.62+35.18+70.9+424.33+131.11+105.54+245.8+29.79)))-(4*5.49)</f>
        <v>146.89000000000217</v>
      </c>
      <c r="H13" s="6" t="s">
        <v>86</v>
      </c>
      <c r="I13" s="1"/>
      <c r="J13" s="1" t="s">
        <v>402</v>
      </c>
    </row>
    <row r="14" spans="1:10" x14ac:dyDescent="0.25">
      <c r="A14" s="258"/>
      <c r="B14" s="258"/>
      <c r="C14" s="258"/>
      <c r="D14" s="258"/>
      <c r="E14" s="258"/>
      <c r="F14" s="258"/>
      <c r="G14" s="258"/>
      <c r="H14" s="258"/>
      <c r="I14" s="258"/>
      <c r="J14" s="258"/>
    </row>
    <row r="15" spans="1:10" ht="15.75" x14ac:dyDescent="0.25">
      <c r="A15" s="6" t="s">
        <v>393</v>
      </c>
      <c r="B15" s="6"/>
      <c r="C15" s="6"/>
      <c r="D15" s="6"/>
      <c r="E15" s="6"/>
      <c r="F15" s="6"/>
      <c r="G15" s="7">
        <v>84</v>
      </c>
      <c r="H15" s="6" t="s">
        <v>86</v>
      </c>
      <c r="I15" s="258"/>
      <c r="J15" s="258"/>
    </row>
    <row r="16" spans="1:10" x14ac:dyDescent="0.25">
      <c r="A16" s="12"/>
      <c r="B16" s="12"/>
      <c r="C16" s="12"/>
      <c r="D16" s="12"/>
      <c r="E16" s="12"/>
      <c r="F16" s="12"/>
      <c r="G16" s="257"/>
      <c r="H16" s="12"/>
      <c r="I16" s="258"/>
      <c r="J16" s="258"/>
    </row>
    <row r="17" spans="1:10" ht="15.75" x14ac:dyDescent="0.25">
      <c r="A17" s="6" t="s">
        <v>394</v>
      </c>
      <c r="B17" s="6"/>
      <c r="C17" s="6"/>
      <c r="D17" s="6"/>
      <c r="E17" s="6"/>
      <c r="F17" s="6"/>
      <c r="G17" s="7">
        <v>40</v>
      </c>
      <c r="H17" s="6" t="s">
        <v>86</v>
      </c>
      <c r="I17" s="258"/>
      <c r="J17" s="258"/>
    </row>
    <row r="18" spans="1:1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5.75" x14ac:dyDescent="0.25">
      <c r="A20" s="6"/>
      <c r="B20" s="6"/>
      <c r="C20" s="6"/>
      <c r="D20" s="6"/>
      <c r="E20" s="6"/>
      <c r="F20" s="6"/>
      <c r="G20" s="7">
        <f>SUM(G1:G17)</f>
        <v>1570.0800000000081</v>
      </c>
      <c r="H20" s="6" t="s">
        <v>86</v>
      </c>
      <c r="I20" s="6"/>
      <c r="J20" s="6"/>
    </row>
    <row r="21" spans="1:1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5.75" x14ac:dyDescent="0.25">
      <c r="A22" s="6" t="s">
        <v>395</v>
      </c>
      <c r="B22" s="6"/>
      <c r="C22" s="6"/>
      <c r="D22" s="6"/>
      <c r="E22" s="6"/>
      <c r="F22" s="6"/>
      <c r="G22" s="6">
        <f>(11.5*4.5+7*9.9+5.4*1.3+3.4*17)</f>
        <v>185.87</v>
      </c>
      <c r="H22" s="6" t="s">
        <v>86</v>
      </c>
      <c r="I22" s="6"/>
      <c r="J22" s="6"/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5.75" x14ac:dyDescent="0.25">
      <c r="A27" s="6" t="s">
        <v>396</v>
      </c>
      <c r="B27" s="6"/>
      <c r="C27" s="6"/>
      <c r="D27" s="6"/>
      <c r="E27" s="6"/>
      <c r="F27" s="6"/>
      <c r="G27" s="6">
        <f>8.17+(4.6*2*2.6)</f>
        <v>32.089999999999996</v>
      </c>
      <c r="H27" s="6" t="s">
        <v>86</v>
      </c>
      <c r="I27" s="6"/>
      <c r="J27" s="6"/>
    </row>
    <row r="28" spans="1:10" ht="15.75" x14ac:dyDescent="0.25">
      <c r="A28" s="6" t="s">
        <v>397</v>
      </c>
      <c r="B28" s="6"/>
      <c r="C28" s="6"/>
      <c r="D28" s="6"/>
      <c r="E28" s="6"/>
      <c r="F28" s="6"/>
      <c r="G28" s="6">
        <f>G27-((7.5+1.13)*3)</f>
        <v>6.1999999999999993</v>
      </c>
      <c r="H28" s="6" t="s">
        <v>86</v>
      </c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5.75" x14ac:dyDescent="0.25">
      <c r="A30" s="6" t="s">
        <v>398</v>
      </c>
      <c r="B30" s="6"/>
      <c r="C30" s="6"/>
      <c r="D30" s="6"/>
      <c r="E30" s="6"/>
      <c r="F30" s="6"/>
      <c r="G30" s="6">
        <f>3*3.4</f>
        <v>10.199999999999999</v>
      </c>
      <c r="H30" s="6" t="s">
        <v>86</v>
      </c>
      <c r="I30" s="6"/>
      <c r="J30" s="6"/>
    </row>
    <row r="31" spans="1:10" ht="15.75" x14ac:dyDescent="0.25">
      <c r="A31" s="6" t="s">
        <v>399</v>
      </c>
      <c r="B31" s="6"/>
      <c r="C31" s="6"/>
      <c r="D31" s="6"/>
      <c r="E31" s="6"/>
      <c r="F31" s="6"/>
      <c r="G31" s="6">
        <f>3*(3.4-1.445)</f>
        <v>5.8649999999999993</v>
      </c>
      <c r="H31" s="6" t="s">
        <v>86</v>
      </c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5.75" x14ac:dyDescent="0.25">
      <c r="A33" s="6" t="s">
        <v>400</v>
      </c>
      <c r="B33" s="6"/>
      <c r="C33" s="6"/>
      <c r="D33" s="6"/>
      <c r="E33" s="6"/>
      <c r="F33" s="6"/>
      <c r="G33" s="6">
        <f>(4.8*4*1.4)</f>
        <v>26.88</v>
      </c>
      <c r="H33" s="6" t="s">
        <v>86</v>
      </c>
      <c r="I33" s="6"/>
      <c r="J33" s="6"/>
    </row>
    <row r="34" spans="1:10" ht="15.75" x14ac:dyDescent="0.25">
      <c r="A34" s="6" t="s">
        <v>401</v>
      </c>
      <c r="B34" s="6"/>
      <c r="C34" s="6"/>
      <c r="D34" s="6"/>
      <c r="E34" s="6"/>
      <c r="F34" s="6"/>
      <c r="G34" s="6">
        <f>G33-(3.7*3.1*0.8)</f>
        <v>17.704000000000001</v>
      </c>
      <c r="H34" s="6" t="s">
        <v>86</v>
      </c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9" sqref="A8:L9"/>
    </sheetView>
  </sheetViews>
  <sheetFormatPr defaultRowHeight="13.5" x14ac:dyDescent="0.25"/>
  <cols>
    <col min="1" max="1" width="16.140625" style="6" customWidth="1"/>
    <col min="2" max="2" width="3.7109375" style="6" customWidth="1"/>
    <col min="3" max="3" width="8.5703125" style="6" bestFit="1" customWidth="1"/>
    <col min="4" max="4" width="3.7109375" style="6" customWidth="1"/>
    <col min="5" max="5" width="8.140625" style="6" bestFit="1" customWidth="1"/>
    <col min="6" max="6" width="4.42578125" style="6" bestFit="1" customWidth="1"/>
    <col min="7" max="7" width="3.7109375" style="6" customWidth="1"/>
    <col min="8" max="8" width="10" style="7" bestFit="1" customWidth="1"/>
    <col min="9" max="9" width="4.42578125" style="6" bestFit="1" customWidth="1"/>
    <col min="10" max="10" width="3.7109375" style="6" customWidth="1"/>
    <col min="11" max="11" width="9.140625" style="6"/>
    <col min="12" max="12" width="4.42578125" style="6" bestFit="1" customWidth="1"/>
    <col min="13" max="16384" width="9.140625" style="6"/>
  </cols>
  <sheetData>
    <row r="1" spans="1:12" x14ac:dyDescent="0.25">
      <c r="A1" s="6" t="s">
        <v>9</v>
      </c>
    </row>
    <row r="2" spans="1:12" ht="14.25" customHeight="1" x14ac:dyDescent="0.25"/>
    <row r="3" spans="1:12" ht="14.25" customHeight="1" x14ac:dyDescent="0.25">
      <c r="A3" s="6" t="s">
        <v>20</v>
      </c>
    </row>
    <row r="4" spans="1:12" x14ac:dyDescent="0.25">
      <c r="A4" s="6" t="s">
        <v>0</v>
      </c>
      <c r="C4" s="6" t="s">
        <v>6</v>
      </c>
      <c r="E4" s="6" t="s">
        <v>7</v>
      </c>
      <c r="H4" s="7" t="s">
        <v>8</v>
      </c>
      <c r="K4" s="6" t="s">
        <v>11</v>
      </c>
    </row>
    <row r="5" spans="1:12" ht="15.75" x14ac:dyDescent="0.25">
      <c r="A5" s="6" t="s">
        <v>1</v>
      </c>
      <c r="C5" s="6" t="s">
        <v>2</v>
      </c>
      <c r="E5" s="6">
        <v>78.81</v>
      </c>
      <c r="F5" s="6" t="s">
        <v>85</v>
      </c>
      <c r="H5" s="7">
        <v>19.7</v>
      </c>
      <c r="I5" s="6" t="s">
        <v>86</v>
      </c>
      <c r="K5" s="6">
        <v>250</v>
      </c>
      <c r="L5" s="6" t="s">
        <v>12</v>
      </c>
    </row>
    <row r="6" spans="1:12" ht="15.75" x14ac:dyDescent="0.25">
      <c r="A6" s="6" t="s">
        <v>3</v>
      </c>
      <c r="C6" s="6" t="s">
        <v>2</v>
      </c>
      <c r="E6" s="6">
        <v>109.98</v>
      </c>
      <c r="F6" s="6" t="s">
        <v>85</v>
      </c>
      <c r="H6" s="7">
        <v>27.5</v>
      </c>
      <c r="I6" s="6" t="s">
        <v>86</v>
      </c>
      <c r="K6" s="6">
        <v>250</v>
      </c>
      <c r="L6" s="6" t="s">
        <v>12</v>
      </c>
    </row>
    <row r="7" spans="1:12" ht="15.75" x14ac:dyDescent="0.25">
      <c r="A7" s="6" t="s">
        <v>378</v>
      </c>
      <c r="C7" s="6" t="s">
        <v>2</v>
      </c>
      <c r="E7" s="6">
        <f>1.8*1.8</f>
        <v>3.24</v>
      </c>
      <c r="F7" s="6" t="s">
        <v>85</v>
      </c>
      <c r="H7" s="7">
        <f>E7*1</f>
        <v>3.24</v>
      </c>
      <c r="I7" s="6" t="s">
        <v>86</v>
      </c>
      <c r="K7" s="6">
        <v>1000</v>
      </c>
      <c r="L7" s="6" t="s">
        <v>12</v>
      </c>
    </row>
    <row r="9" spans="1:12" ht="15.75" x14ac:dyDescent="0.25">
      <c r="A9" s="6" t="s">
        <v>10</v>
      </c>
      <c r="C9" s="6" t="s">
        <v>2</v>
      </c>
      <c r="E9" s="6">
        <f>(78.8-42.18)+(112.92-59.61)</f>
        <v>89.93</v>
      </c>
      <c r="F9" s="6" t="s">
        <v>85</v>
      </c>
      <c r="H9" s="7">
        <f>(0.10125*32.66)+(0.10125*(33.92+8.225))+(0.317725*(5.1+2*5.49))</f>
        <v>12.683024249999999</v>
      </c>
      <c r="I9" s="6" t="s">
        <v>86</v>
      </c>
    </row>
    <row r="10" spans="1:12" ht="15.75" x14ac:dyDescent="0.25">
      <c r="H10" s="8">
        <f>SUM(H5:H9)</f>
        <v>63.12302425</v>
      </c>
      <c r="I10" s="9" t="s">
        <v>87</v>
      </c>
    </row>
    <row r="12" spans="1:12" x14ac:dyDescent="0.25">
      <c r="A12" s="6" t="s">
        <v>21</v>
      </c>
    </row>
    <row r="13" spans="1:12" x14ac:dyDescent="0.25">
      <c r="A13" s="6" t="s">
        <v>0</v>
      </c>
      <c r="C13" s="6" t="s">
        <v>6</v>
      </c>
      <c r="E13" s="6" t="s">
        <v>22</v>
      </c>
      <c r="H13" s="7" t="s">
        <v>11</v>
      </c>
      <c r="K13" s="6" t="s">
        <v>8</v>
      </c>
    </row>
    <row r="14" spans="1:12" ht="15.75" x14ac:dyDescent="0.25">
      <c r="A14" s="6" t="s">
        <v>15</v>
      </c>
      <c r="C14" s="6" t="s">
        <v>2</v>
      </c>
      <c r="E14" s="10">
        <v>180</v>
      </c>
      <c r="F14" s="6" t="s">
        <v>12</v>
      </c>
      <c r="H14" s="11">
        <v>250</v>
      </c>
      <c r="I14" s="6" t="s">
        <v>12</v>
      </c>
      <c r="K14" s="7">
        <v>0.22</v>
      </c>
      <c r="L14" s="6" t="s">
        <v>86</v>
      </c>
    </row>
    <row r="15" spans="1:12" ht="15.75" x14ac:dyDescent="0.25">
      <c r="A15" s="6" t="s">
        <v>15</v>
      </c>
      <c r="C15" s="6" t="s">
        <v>2</v>
      </c>
      <c r="E15" s="10" t="s">
        <v>16</v>
      </c>
      <c r="F15" s="6" t="s">
        <v>12</v>
      </c>
      <c r="H15" s="11">
        <v>250</v>
      </c>
      <c r="I15" s="6" t="s">
        <v>12</v>
      </c>
      <c r="K15" s="7">
        <v>3.07</v>
      </c>
      <c r="L15" s="6" t="s">
        <v>86</v>
      </c>
    </row>
    <row r="16" spans="1:12" ht="15.75" x14ac:dyDescent="0.25">
      <c r="A16" s="6" t="s">
        <v>15</v>
      </c>
      <c r="C16" s="6" t="s">
        <v>2</v>
      </c>
      <c r="E16" s="10" t="s">
        <v>17</v>
      </c>
      <c r="F16" s="6" t="s">
        <v>12</v>
      </c>
      <c r="H16" s="11">
        <v>250</v>
      </c>
      <c r="I16" s="6" t="s">
        <v>12</v>
      </c>
      <c r="K16" s="7">
        <v>0.97</v>
      </c>
      <c r="L16" s="6" t="s">
        <v>86</v>
      </c>
    </row>
    <row r="17" spans="1:12" ht="15.75" x14ac:dyDescent="0.25">
      <c r="A17" s="6" t="s">
        <v>15</v>
      </c>
      <c r="C17" s="6" t="s">
        <v>2</v>
      </c>
      <c r="E17" s="10" t="s">
        <v>17</v>
      </c>
      <c r="F17" s="6" t="s">
        <v>12</v>
      </c>
      <c r="H17" s="11">
        <v>250</v>
      </c>
      <c r="I17" s="6" t="s">
        <v>12</v>
      </c>
      <c r="K17" s="7">
        <v>3.21</v>
      </c>
      <c r="L17" s="6" t="s">
        <v>86</v>
      </c>
    </row>
    <row r="18" spans="1:12" ht="15.75" x14ac:dyDescent="0.25">
      <c r="A18" s="6" t="s">
        <v>15</v>
      </c>
      <c r="C18" s="6" t="s">
        <v>2</v>
      </c>
      <c r="E18" s="10" t="s">
        <v>17</v>
      </c>
      <c r="F18" s="6" t="s">
        <v>12</v>
      </c>
      <c r="H18" s="11">
        <v>250</v>
      </c>
      <c r="I18" s="6" t="s">
        <v>12</v>
      </c>
      <c r="K18" s="7">
        <v>3.4</v>
      </c>
      <c r="L18" s="6" t="s">
        <v>86</v>
      </c>
    </row>
    <row r="19" spans="1:12" ht="15.75" x14ac:dyDescent="0.25">
      <c r="A19" s="6" t="s">
        <v>15</v>
      </c>
      <c r="C19" s="6" t="s">
        <v>2</v>
      </c>
      <c r="E19" s="10" t="s">
        <v>17</v>
      </c>
      <c r="F19" s="6" t="s">
        <v>12</v>
      </c>
      <c r="H19" s="11">
        <v>250</v>
      </c>
      <c r="I19" s="6" t="s">
        <v>12</v>
      </c>
      <c r="K19" s="7">
        <v>6.88</v>
      </c>
      <c r="L19" s="6" t="s">
        <v>86</v>
      </c>
    </row>
    <row r="20" spans="1:12" ht="15.75" x14ac:dyDescent="0.25">
      <c r="A20" s="6" t="s">
        <v>15</v>
      </c>
      <c r="C20" s="6" t="s">
        <v>2</v>
      </c>
      <c r="E20" s="10" t="s">
        <v>17</v>
      </c>
      <c r="F20" s="6" t="s">
        <v>12</v>
      </c>
      <c r="H20" s="11">
        <v>250</v>
      </c>
      <c r="I20" s="6" t="s">
        <v>12</v>
      </c>
      <c r="K20" s="7">
        <v>11.18</v>
      </c>
      <c r="L20" s="6" t="s">
        <v>86</v>
      </c>
    </row>
    <row r="21" spans="1:12" ht="15.75" x14ac:dyDescent="0.25">
      <c r="A21" s="6" t="s">
        <v>18</v>
      </c>
      <c r="C21" s="6" t="s">
        <v>2</v>
      </c>
      <c r="E21" s="10" t="s">
        <v>19</v>
      </c>
      <c r="F21" s="6" t="s">
        <v>12</v>
      </c>
      <c r="H21" s="11">
        <v>300</v>
      </c>
      <c r="I21" s="6" t="s">
        <v>12</v>
      </c>
      <c r="K21" s="7">
        <v>2.7</v>
      </c>
      <c r="L21" s="6" t="s">
        <v>86</v>
      </c>
    </row>
    <row r="22" spans="1:12" ht="15.75" x14ac:dyDescent="0.25">
      <c r="K22" s="8">
        <f>SUM(K14:K21)</f>
        <v>31.63</v>
      </c>
      <c r="L22" s="9" t="s">
        <v>87</v>
      </c>
    </row>
    <row r="25" spans="1:12" x14ac:dyDescent="0.25">
      <c r="A25" s="6" t="s">
        <v>84</v>
      </c>
    </row>
    <row r="26" spans="1:12" x14ac:dyDescent="0.25">
      <c r="C26" s="6" t="s">
        <v>6</v>
      </c>
      <c r="E26" s="6" t="s">
        <v>22</v>
      </c>
      <c r="H26" s="7" t="s">
        <v>11</v>
      </c>
      <c r="K26" s="6" t="s">
        <v>8</v>
      </c>
    </row>
    <row r="27" spans="1:12" ht="15.75" x14ac:dyDescent="0.25">
      <c r="C27" s="6" t="s">
        <v>2</v>
      </c>
      <c r="E27" s="10">
        <v>600</v>
      </c>
      <c r="F27" s="6" t="s">
        <v>12</v>
      </c>
      <c r="H27" s="11">
        <v>600</v>
      </c>
      <c r="I27" s="6" t="s">
        <v>12</v>
      </c>
      <c r="K27" s="8">
        <f>(0.6*0.6)*(10.042+4.975+4.035+12.345+4.025)</f>
        <v>12.751919999999998</v>
      </c>
      <c r="L27" s="9" t="s">
        <v>87</v>
      </c>
    </row>
    <row r="28" spans="1:12" x14ac:dyDescent="0.25">
      <c r="H28" s="11"/>
      <c r="K28" s="8"/>
    </row>
    <row r="29" spans="1:12" x14ac:dyDescent="0.25">
      <c r="H29" s="11"/>
      <c r="K29" s="8"/>
    </row>
    <row r="30" spans="1:12" x14ac:dyDescent="0.25">
      <c r="A30" s="6" t="s">
        <v>374</v>
      </c>
      <c r="H30" s="11"/>
      <c r="K30" s="8"/>
    </row>
    <row r="31" spans="1:12" ht="15.75" x14ac:dyDescent="0.25">
      <c r="A31" s="6" t="s">
        <v>375</v>
      </c>
      <c r="C31" s="6" t="s">
        <v>2</v>
      </c>
      <c r="E31" s="6">
        <v>4250</v>
      </c>
      <c r="F31" s="6" t="s">
        <v>12</v>
      </c>
      <c r="H31" s="11">
        <v>300</v>
      </c>
      <c r="I31" s="6" t="s">
        <v>12</v>
      </c>
      <c r="K31" s="7">
        <f>0.3*4.25*4.5</f>
        <v>5.7374999999999998</v>
      </c>
      <c r="L31" s="6" t="s">
        <v>86</v>
      </c>
    </row>
    <row r="32" spans="1:12" ht="15.75" x14ac:dyDescent="0.25">
      <c r="A32" s="6" t="s">
        <v>377</v>
      </c>
      <c r="C32" s="6" t="s">
        <v>2</v>
      </c>
      <c r="H32" s="6">
        <v>300</v>
      </c>
      <c r="I32" s="6" t="s">
        <v>12</v>
      </c>
      <c r="K32" s="7">
        <f>0.3*4.5*1.2</f>
        <v>1.6199999999999999</v>
      </c>
      <c r="L32" s="6" t="s">
        <v>86</v>
      </c>
    </row>
    <row r="33" spans="1:12" x14ac:dyDescent="0.25">
      <c r="H33" s="11"/>
      <c r="K33" s="7"/>
    </row>
    <row r="34" spans="1:12" ht="15.75" x14ac:dyDescent="0.25">
      <c r="A34" s="6" t="s">
        <v>376</v>
      </c>
      <c r="C34" s="6" t="s">
        <v>2</v>
      </c>
      <c r="E34" s="6">
        <v>1600</v>
      </c>
      <c r="F34" s="6" t="s">
        <v>12</v>
      </c>
      <c r="H34" s="11">
        <v>200</v>
      </c>
      <c r="I34" s="6" t="s">
        <v>12</v>
      </c>
      <c r="K34" s="7">
        <f>1.6*0.2*8.5</f>
        <v>2.7200000000000006</v>
      </c>
      <c r="L34" s="6" t="s">
        <v>86</v>
      </c>
    </row>
    <row r="35" spans="1:12" ht="15.75" x14ac:dyDescent="0.25">
      <c r="A35" s="6" t="s">
        <v>377</v>
      </c>
      <c r="C35" s="6" t="s">
        <v>2</v>
      </c>
      <c r="H35" s="11">
        <v>200</v>
      </c>
      <c r="I35" s="6" t="s">
        <v>12</v>
      </c>
      <c r="K35" s="7">
        <f>0.2*8.5*0.7</f>
        <v>1.19</v>
      </c>
      <c r="L35" s="6" t="s">
        <v>86</v>
      </c>
    </row>
    <row r="36" spans="1:12" ht="15.75" x14ac:dyDescent="0.25">
      <c r="H36" s="11"/>
      <c r="K36" s="8">
        <f>SUM(K31:K35)</f>
        <v>11.2675</v>
      </c>
      <c r="L36" s="9" t="s">
        <v>87</v>
      </c>
    </row>
    <row r="37" spans="1:12" x14ac:dyDescent="0.25">
      <c r="H37" s="11"/>
      <c r="K37" s="8"/>
    </row>
    <row r="38" spans="1:12" x14ac:dyDescent="0.25">
      <c r="H38" s="11"/>
      <c r="K38" s="8"/>
    </row>
    <row r="39" spans="1:12" x14ac:dyDescent="0.25">
      <c r="H39" s="11"/>
      <c r="K39" s="8"/>
    </row>
    <row r="40" spans="1:12" x14ac:dyDescent="0.25">
      <c r="H40" s="11"/>
      <c r="K40" s="8"/>
    </row>
    <row r="41" spans="1:12" x14ac:dyDescent="0.25">
      <c r="H41" s="11"/>
      <c r="K41" s="8"/>
    </row>
    <row r="42" spans="1:12" x14ac:dyDescent="0.25">
      <c r="H42" s="11"/>
      <c r="K42" s="8"/>
    </row>
    <row r="43" spans="1:12" x14ac:dyDescent="0.25">
      <c r="H43" s="11"/>
      <c r="K43" s="8"/>
    </row>
    <row r="44" spans="1:12" x14ac:dyDescent="0.25">
      <c r="H44" s="11"/>
      <c r="K44" s="8"/>
    </row>
    <row r="45" spans="1:12" x14ac:dyDescent="0.25">
      <c r="H45" s="1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19" workbookViewId="0">
      <selection activeCell="K55" sqref="K55"/>
    </sheetView>
  </sheetViews>
  <sheetFormatPr defaultRowHeight="13.5" x14ac:dyDescent="0.25"/>
  <cols>
    <col min="1" max="1" width="16.42578125" style="6" bestFit="1" customWidth="1"/>
    <col min="2" max="2" width="3.7109375" style="6" customWidth="1"/>
    <col min="3" max="3" width="9.140625" style="6"/>
    <col min="4" max="4" width="3.7109375" style="6" customWidth="1"/>
    <col min="5" max="5" width="9.140625" style="6"/>
    <col min="6" max="6" width="4.42578125" style="6" bestFit="1" customWidth="1"/>
    <col min="7" max="7" width="3.7109375" style="6" customWidth="1"/>
    <col min="8" max="8" width="9.140625" style="6"/>
    <col min="9" max="9" width="4.42578125" style="6" bestFit="1" customWidth="1"/>
    <col min="10" max="10" width="3.7109375" style="6" customWidth="1"/>
    <col min="11" max="11" width="9.140625" style="6"/>
    <col min="12" max="12" width="3.5703125" style="6" bestFit="1" customWidth="1"/>
    <col min="13" max="14" width="9.140625" style="6"/>
    <col min="15" max="15" width="22.85546875" style="6" customWidth="1"/>
    <col min="16" max="16" width="9.140625" style="12"/>
    <col min="17" max="16384" width="9.140625" style="6"/>
  </cols>
  <sheetData>
    <row r="1" spans="1:17" x14ac:dyDescent="0.25">
      <c r="A1" s="6" t="s">
        <v>51</v>
      </c>
    </row>
    <row r="3" spans="1:17" x14ac:dyDescent="0.25">
      <c r="A3" s="6" t="s">
        <v>0</v>
      </c>
      <c r="C3" s="6" t="s">
        <v>6</v>
      </c>
      <c r="E3" s="6" t="s">
        <v>11</v>
      </c>
      <c r="H3" s="6" t="s">
        <v>22</v>
      </c>
      <c r="K3" s="6" t="s">
        <v>8</v>
      </c>
    </row>
    <row r="4" spans="1:17" ht="15.75" x14ac:dyDescent="0.25">
      <c r="A4" s="6" t="s">
        <v>23</v>
      </c>
      <c r="C4" s="6" t="s">
        <v>2</v>
      </c>
      <c r="E4" s="6">
        <v>200</v>
      </c>
      <c r="F4" s="6" t="s">
        <v>12</v>
      </c>
      <c r="H4" s="6">
        <v>200</v>
      </c>
      <c r="I4" s="6" t="s">
        <v>12</v>
      </c>
      <c r="K4" s="7">
        <v>0.14000000000000001</v>
      </c>
      <c r="L4" s="6" t="s">
        <v>86</v>
      </c>
    </row>
    <row r="5" spans="1:17" ht="15.75" x14ac:dyDescent="0.25">
      <c r="A5" s="6" t="s">
        <v>23</v>
      </c>
      <c r="C5" s="6" t="s">
        <v>2</v>
      </c>
      <c r="E5" s="6">
        <v>200</v>
      </c>
      <c r="F5" s="6" t="s">
        <v>12</v>
      </c>
      <c r="H5" s="10" t="s">
        <v>24</v>
      </c>
      <c r="I5" s="6" t="s">
        <v>12</v>
      </c>
      <c r="K5" s="7">
        <v>5.04</v>
      </c>
      <c r="L5" s="6" t="s">
        <v>86</v>
      </c>
    </row>
    <row r="6" spans="1:17" ht="15.75" x14ac:dyDescent="0.25">
      <c r="A6" s="6" t="s">
        <v>23</v>
      </c>
      <c r="C6" s="6" t="s">
        <v>2</v>
      </c>
      <c r="E6" s="6">
        <v>200</v>
      </c>
      <c r="F6" s="6" t="s">
        <v>12</v>
      </c>
      <c r="H6" s="10" t="s">
        <v>24</v>
      </c>
      <c r="I6" s="6" t="s">
        <v>12</v>
      </c>
      <c r="K6" s="7">
        <v>3.96</v>
      </c>
      <c r="L6" s="6" t="s">
        <v>86</v>
      </c>
    </row>
    <row r="7" spans="1:17" ht="15.75" x14ac:dyDescent="0.25">
      <c r="A7" s="6" t="s">
        <v>23</v>
      </c>
      <c r="C7" s="6" t="s">
        <v>2</v>
      </c>
      <c r="E7" s="6">
        <v>200</v>
      </c>
      <c r="F7" s="6" t="s">
        <v>12</v>
      </c>
      <c r="H7" s="10" t="s">
        <v>24</v>
      </c>
      <c r="I7" s="6" t="s">
        <v>12</v>
      </c>
      <c r="K7" s="7">
        <v>4.92</v>
      </c>
      <c r="L7" s="6" t="s">
        <v>86</v>
      </c>
    </row>
    <row r="8" spans="1:17" ht="15.75" x14ac:dyDescent="0.25">
      <c r="A8" s="6" t="s">
        <v>23</v>
      </c>
      <c r="C8" s="6" t="s">
        <v>2</v>
      </c>
      <c r="E8" s="6">
        <v>200</v>
      </c>
      <c r="F8" s="6" t="s">
        <v>12</v>
      </c>
      <c r="H8" s="10" t="s">
        <v>25</v>
      </c>
      <c r="I8" s="6" t="s">
        <v>12</v>
      </c>
      <c r="K8" s="7">
        <v>1.25</v>
      </c>
      <c r="L8" s="6" t="s">
        <v>86</v>
      </c>
    </row>
    <row r="9" spans="1:17" ht="15.75" x14ac:dyDescent="0.25">
      <c r="A9" s="6" t="s">
        <v>23</v>
      </c>
      <c r="C9" s="6" t="s">
        <v>2</v>
      </c>
      <c r="E9" s="6">
        <v>200</v>
      </c>
      <c r="F9" s="6" t="s">
        <v>12</v>
      </c>
      <c r="H9" s="10" t="s">
        <v>17</v>
      </c>
      <c r="I9" s="6" t="s">
        <v>12</v>
      </c>
      <c r="K9" s="7">
        <v>1.35</v>
      </c>
      <c r="L9" s="6" t="s">
        <v>86</v>
      </c>
    </row>
    <row r="10" spans="1:17" ht="15.75" x14ac:dyDescent="0.25">
      <c r="A10" s="6" t="s">
        <v>23</v>
      </c>
      <c r="C10" s="6" t="s">
        <v>2</v>
      </c>
      <c r="E10" s="6">
        <v>200</v>
      </c>
      <c r="F10" s="6" t="s">
        <v>12</v>
      </c>
      <c r="H10" s="10" t="s">
        <v>26</v>
      </c>
      <c r="I10" s="6" t="s">
        <v>12</v>
      </c>
      <c r="K10" s="7">
        <v>2.58</v>
      </c>
      <c r="L10" s="6" t="s">
        <v>86</v>
      </c>
    </row>
    <row r="11" spans="1:17" ht="15.75" x14ac:dyDescent="0.25">
      <c r="A11" s="6" t="s">
        <v>23</v>
      </c>
      <c r="C11" s="6" t="s">
        <v>2</v>
      </c>
      <c r="E11" s="6">
        <v>200</v>
      </c>
      <c r="F11" s="6" t="s">
        <v>12</v>
      </c>
      <c r="H11" s="10">
        <v>200</v>
      </c>
      <c r="I11" s="6" t="s">
        <v>12</v>
      </c>
      <c r="K11" s="7">
        <v>0.34</v>
      </c>
      <c r="L11" s="6" t="s">
        <v>86</v>
      </c>
    </row>
    <row r="12" spans="1:17" ht="15.75" x14ac:dyDescent="0.25">
      <c r="A12" s="6" t="s">
        <v>49</v>
      </c>
      <c r="C12" s="6" t="s">
        <v>2</v>
      </c>
      <c r="E12" s="6">
        <v>200</v>
      </c>
      <c r="F12" s="6" t="s">
        <v>12</v>
      </c>
      <c r="H12" s="10">
        <v>200</v>
      </c>
      <c r="I12" s="6" t="s">
        <v>12</v>
      </c>
      <c r="K12" s="7">
        <v>0.36</v>
      </c>
      <c r="L12" s="6" t="s">
        <v>86</v>
      </c>
    </row>
    <row r="13" spans="1:17" ht="15.75" x14ac:dyDescent="0.25">
      <c r="A13" s="6" t="s">
        <v>23</v>
      </c>
      <c r="C13" s="6" t="s">
        <v>2</v>
      </c>
      <c r="E13" s="6">
        <v>200</v>
      </c>
      <c r="F13" s="6" t="s">
        <v>12</v>
      </c>
      <c r="H13" s="10">
        <v>200</v>
      </c>
      <c r="I13" s="6" t="s">
        <v>12</v>
      </c>
      <c r="K13" s="7">
        <v>0.42</v>
      </c>
      <c r="L13" s="6" t="s">
        <v>86</v>
      </c>
      <c r="O13" s="13"/>
      <c r="P13" s="13"/>
      <c r="Q13" s="13"/>
    </row>
    <row r="14" spans="1:17" ht="15.75" x14ac:dyDescent="0.25">
      <c r="H14" s="10"/>
      <c r="K14" s="8">
        <f>SUM(K4:K13)</f>
        <v>20.360000000000003</v>
      </c>
      <c r="L14" s="9" t="s">
        <v>87</v>
      </c>
      <c r="O14" s="13"/>
      <c r="P14" s="13"/>
      <c r="Q14" s="13"/>
    </row>
    <row r="15" spans="1:17" x14ac:dyDescent="0.25">
      <c r="H15" s="10"/>
      <c r="K15" s="7"/>
      <c r="O15" s="13"/>
      <c r="P15" s="13"/>
      <c r="Q15" s="13"/>
    </row>
    <row r="16" spans="1:17" ht="15.75" x14ac:dyDescent="0.25">
      <c r="A16" s="6" t="s">
        <v>27</v>
      </c>
      <c r="C16" s="6" t="s">
        <v>2</v>
      </c>
      <c r="E16" s="6">
        <v>250</v>
      </c>
      <c r="F16" s="6" t="s">
        <v>12</v>
      </c>
      <c r="H16" s="10" t="s">
        <v>17</v>
      </c>
      <c r="I16" s="6" t="s">
        <v>12</v>
      </c>
      <c r="K16" s="23">
        <v>3.44</v>
      </c>
      <c r="L16" s="9" t="s">
        <v>87</v>
      </c>
      <c r="O16" s="13"/>
      <c r="P16" s="13"/>
      <c r="Q16" s="13"/>
    </row>
    <row r="17" spans="1:17" x14ac:dyDescent="0.25">
      <c r="H17" s="10"/>
      <c r="K17" s="14"/>
      <c r="O17" s="13"/>
      <c r="P17" s="13"/>
      <c r="Q17" s="13"/>
    </row>
    <row r="18" spans="1:17" ht="15.75" x14ac:dyDescent="0.25">
      <c r="A18" s="6" t="s">
        <v>28</v>
      </c>
      <c r="C18" s="6" t="s">
        <v>4</v>
      </c>
      <c r="E18" s="6">
        <v>200</v>
      </c>
      <c r="F18" s="6" t="s">
        <v>12</v>
      </c>
      <c r="H18" s="10" t="s">
        <v>29</v>
      </c>
      <c r="I18" s="6" t="s">
        <v>12</v>
      </c>
      <c r="K18" s="14">
        <v>3.81</v>
      </c>
      <c r="L18" s="6" t="s">
        <v>86</v>
      </c>
      <c r="O18" s="13"/>
      <c r="P18" s="13"/>
      <c r="Q18" s="13"/>
    </row>
    <row r="19" spans="1:17" ht="15.75" x14ac:dyDescent="0.25">
      <c r="A19" s="6" t="s">
        <v>28</v>
      </c>
      <c r="C19" s="6" t="s">
        <v>4</v>
      </c>
      <c r="E19" s="6">
        <v>200</v>
      </c>
      <c r="F19" s="6" t="s">
        <v>12</v>
      </c>
      <c r="H19" s="10" t="s">
        <v>29</v>
      </c>
      <c r="I19" s="6" t="s">
        <v>12</v>
      </c>
      <c r="K19" s="14">
        <v>5.19</v>
      </c>
      <c r="L19" s="6" t="s">
        <v>86</v>
      </c>
      <c r="O19" s="13"/>
      <c r="P19" s="13"/>
      <c r="Q19" s="13"/>
    </row>
    <row r="20" spans="1:17" ht="15.75" x14ac:dyDescent="0.25">
      <c r="A20" s="6" t="s">
        <v>28</v>
      </c>
      <c r="C20" s="6" t="s">
        <v>4</v>
      </c>
      <c r="E20" s="6">
        <v>200</v>
      </c>
      <c r="F20" s="6" t="s">
        <v>12</v>
      </c>
      <c r="H20" s="10" t="s">
        <v>29</v>
      </c>
      <c r="I20" s="6" t="s">
        <v>12</v>
      </c>
      <c r="K20" s="14">
        <v>7.74</v>
      </c>
      <c r="L20" s="6" t="s">
        <v>86</v>
      </c>
      <c r="O20" s="13"/>
      <c r="P20" s="13"/>
      <c r="Q20" s="13"/>
    </row>
    <row r="21" spans="1:17" ht="15.75" x14ac:dyDescent="0.25">
      <c r="A21" s="6" t="s">
        <v>30</v>
      </c>
      <c r="C21" s="6" t="s">
        <v>5</v>
      </c>
      <c r="E21" s="6">
        <v>200</v>
      </c>
      <c r="F21" s="6" t="s">
        <v>12</v>
      </c>
      <c r="H21" s="10">
        <v>600</v>
      </c>
      <c r="I21" s="6" t="s">
        <v>12</v>
      </c>
      <c r="K21" s="14">
        <v>0.61</v>
      </c>
      <c r="L21" s="6" t="s">
        <v>86</v>
      </c>
      <c r="O21" s="13"/>
      <c r="P21" s="13"/>
      <c r="Q21" s="13"/>
    </row>
    <row r="22" spans="1:17" ht="15.75" x14ac:dyDescent="0.25">
      <c r="A22" s="6" t="s">
        <v>30</v>
      </c>
      <c r="C22" s="6" t="s">
        <v>5</v>
      </c>
      <c r="E22" s="6">
        <v>200</v>
      </c>
      <c r="F22" s="6" t="s">
        <v>12</v>
      </c>
      <c r="H22" s="10">
        <v>875</v>
      </c>
      <c r="I22" s="6" t="s">
        <v>12</v>
      </c>
      <c r="K22" s="14">
        <v>0.7</v>
      </c>
      <c r="L22" s="6" t="s">
        <v>86</v>
      </c>
      <c r="O22" s="13"/>
      <c r="P22" s="13"/>
      <c r="Q22" s="13"/>
    </row>
    <row r="23" spans="1:17" ht="15.75" x14ac:dyDescent="0.25">
      <c r="A23" s="6" t="s">
        <v>30</v>
      </c>
      <c r="C23" s="6" t="s">
        <v>5</v>
      </c>
      <c r="E23" s="6">
        <v>200</v>
      </c>
      <c r="F23" s="6" t="s">
        <v>12</v>
      </c>
      <c r="H23" s="10">
        <v>920</v>
      </c>
      <c r="I23" s="6" t="s">
        <v>12</v>
      </c>
      <c r="K23" s="14">
        <v>0.93</v>
      </c>
      <c r="L23" s="6" t="s">
        <v>86</v>
      </c>
      <c r="O23" s="13"/>
      <c r="P23" s="13"/>
      <c r="Q23" s="13"/>
    </row>
    <row r="24" spans="1:17" ht="15.75" x14ac:dyDescent="0.25">
      <c r="A24" s="6" t="s">
        <v>30</v>
      </c>
      <c r="C24" s="6" t="s">
        <v>5</v>
      </c>
      <c r="E24" s="6">
        <v>200</v>
      </c>
      <c r="F24" s="6" t="s">
        <v>12</v>
      </c>
      <c r="H24" s="10" t="s">
        <v>31</v>
      </c>
      <c r="I24" s="6" t="s">
        <v>12</v>
      </c>
      <c r="K24" s="14">
        <v>1.1200000000000001</v>
      </c>
      <c r="L24" s="6" t="s">
        <v>86</v>
      </c>
      <c r="O24" s="13"/>
      <c r="P24" s="13"/>
      <c r="Q24" s="13"/>
    </row>
    <row r="25" spans="1:17" ht="15.75" x14ac:dyDescent="0.25">
      <c r="A25" s="6" t="s">
        <v>30</v>
      </c>
      <c r="C25" s="6" t="s">
        <v>5</v>
      </c>
      <c r="E25" s="6">
        <v>200</v>
      </c>
      <c r="F25" s="6" t="s">
        <v>12</v>
      </c>
      <c r="H25" s="10" t="s">
        <v>29</v>
      </c>
      <c r="I25" s="6" t="s">
        <v>12</v>
      </c>
      <c r="K25" s="14">
        <v>0.9</v>
      </c>
      <c r="L25" s="6" t="s">
        <v>86</v>
      </c>
      <c r="O25" s="13"/>
      <c r="P25" s="13"/>
      <c r="Q25" s="13"/>
    </row>
    <row r="26" spans="1:17" ht="15.75" x14ac:dyDescent="0.25">
      <c r="A26" s="6" t="s">
        <v>30</v>
      </c>
      <c r="C26" s="6" t="s">
        <v>5</v>
      </c>
      <c r="E26" s="6">
        <v>200</v>
      </c>
      <c r="F26" s="6" t="s">
        <v>12</v>
      </c>
      <c r="H26" s="10" t="s">
        <v>29</v>
      </c>
      <c r="I26" s="6" t="s">
        <v>12</v>
      </c>
      <c r="K26" s="14">
        <v>2.67</v>
      </c>
      <c r="L26" s="6" t="s">
        <v>86</v>
      </c>
      <c r="O26" s="13"/>
      <c r="P26" s="13"/>
      <c r="Q26" s="13"/>
    </row>
    <row r="27" spans="1:17" ht="15.75" x14ac:dyDescent="0.25">
      <c r="A27" s="6" t="s">
        <v>30</v>
      </c>
      <c r="C27" s="6" t="s">
        <v>5</v>
      </c>
      <c r="E27" s="6">
        <v>200</v>
      </c>
      <c r="F27" s="6" t="s">
        <v>12</v>
      </c>
      <c r="H27" s="10" t="s">
        <v>29</v>
      </c>
      <c r="I27" s="6" t="s">
        <v>12</v>
      </c>
      <c r="K27" s="14">
        <v>2.79</v>
      </c>
      <c r="L27" s="6" t="s">
        <v>86</v>
      </c>
      <c r="O27" s="13"/>
      <c r="P27" s="13"/>
      <c r="Q27" s="13"/>
    </row>
    <row r="28" spans="1:17" ht="15.75" x14ac:dyDescent="0.25">
      <c r="A28" s="6" t="s">
        <v>30</v>
      </c>
      <c r="C28" s="6" t="s">
        <v>5</v>
      </c>
      <c r="E28" s="6">
        <v>200</v>
      </c>
      <c r="F28" s="6" t="s">
        <v>12</v>
      </c>
      <c r="H28" s="10" t="s">
        <v>29</v>
      </c>
      <c r="I28" s="6" t="s">
        <v>12</v>
      </c>
      <c r="K28" s="14">
        <v>3.65</v>
      </c>
      <c r="L28" s="6" t="s">
        <v>86</v>
      </c>
      <c r="O28" s="13"/>
      <c r="P28" s="13"/>
      <c r="Q28" s="13"/>
    </row>
    <row r="29" spans="1:17" ht="15.75" x14ac:dyDescent="0.25">
      <c r="A29" s="6" t="s">
        <v>30</v>
      </c>
      <c r="C29" s="6" t="s">
        <v>5</v>
      </c>
      <c r="E29" s="6">
        <v>200</v>
      </c>
      <c r="F29" s="6" t="s">
        <v>12</v>
      </c>
      <c r="H29" s="10" t="s">
        <v>29</v>
      </c>
      <c r="I29" s="6" t="s">
        <v>12</v>
      </c>
      <c r="K29" s="14">
        <v>5.19</v>
      </c>
      <c r="L29" s="6" t="s">
        <v>86</v>
      </c>
      <c r="O29" s="13"/>
      <c r="P29" s="13"/>
      <c r="Q29" s="13"/>
    </row>
    <row r="30" spans="1:17" ht="15.75" x14ac:dyDescent="0.25">
      <c r="A30" s="6" t="s">
        <v>32</v>
      </c>
      <c r="C30" s="6" t="s">
        <v>48</v>
      </c>
      <c r="E30" s="6">
        <v>200</v>
      </c>
      <c r="F30" s="6" t="s">
        <v>12</v>
      </c>
      <c r="H30" s="10" t="s">
        <v>33</v>
      </c>
      <c r="I30" s="6" t="s">
        <v>12</v>
      </c>
      <c r="K30" s="14">
        <v>3.6</v>
      </c>
      <c r="L30" s="6" t="s">
        <v>86</v>
      </c>
      <c r="O30" s="13"/>
      <c r="P30" s="13"/>
      <c r="Q30" s="13"/>
    </row>
    <row r="31" spans="1:17" s="9" customFormat="1" ht="15" x14ac:dyDescent="0.2">
      <c r="H31" s="197"/>
      <c r="K31" s="23">
        <f>SUM(K18:K30)</f>
        <v>38.9</v>
      </c>
      <c r="L31" s="9" t="s">
        <v>87</v>
      </c>
      <c r="O31" s="24"/>
      <c r="P31" s="24"/>
      <c r="Q31" s="24"/>
    </row>
    <row r="32" spans="1:17" x14ac:dyDescent="0.25">
      <c r="H32" s="10"/>
      <c r="K32" s="14"/>
      <c r="O32" s="13"/>
      <c r="P32" s="13"/>
      <c r="Q32" s="13"/>
    </row>
    <row r="33" spans="1:17" ht="15.75" x14ac:dyDescent="0.25">
      <c r="A33" s="6" t="s">
        <v>34</v>
      </c>
      <c r="C33" s="6" t="s">
        <v>5</v>
      </c>
      <c r="E33" s="6">
        <v>200</v>
      </c>
      <c r="F33" s="6" t="s">
        <v>12</v>
      </c>
      <c r="H33" s="10">
        <v>450</v>
      </c>
      <c r="I33" s="6" t="s">
        <v>12</v>
      </c>
      <c r="K33" s="14">
        <v>0.05</v>
      </c>
      <c r="L33" s="6" t="s">
        <v>86</v>
      </c>
      <c r="O33" s="13"/>
      <c r="P33" s="13"/>
      <c r="Q33" s="13"/>
    </row>
    <row r="34" spans="1:17" ht="15.75" x14ac:dyDescent="0.25">
      <c r="A34" s="6" t="s">
        <v>34</v>
      </c>
      <c r="C34" s="6" t="s">
        <v>5</v>
      </c>
      <c r="E34" s="6">
        <v>200</v>
      </c>
      <c r="F34" s="6" t="s">
        <v>12</v>
      </c>
      <c r="H34" s="10" t="s">
        <v>35</v>
      </c>
      <c r="I34" s="6" t="s">
        <v>12</v>
      </c>
      <c r="K34" s="14">
        <v>0.06</v>
      </c>
      <c r="L34" s="6" t="s">
        <v>86</v>
      </c>
      <c r="O34" s="13"/>
      <c r="P34" s="13"/>
      <c r="Q34" s="13"/>
    </row>
    <row r="35" spans="1:17" ht="15.75" x14ac:dyDescent="0.25">
      <c r="H35" s="10"/>
      <c r="K35" s="23">
        <f>SUM(K33:K34)</f>
        <v>0.11</v>
      </c>
      <c r="L35" s="9" t="s">
        <v>87</v>
      </c>
      <c r="O35" s="13"/>
      <c r="P35" s="13"/>
      <c r="Q35" s="13"/>
    </row>
    <row r="36" spans="1:17" x14ac:dyDescent="0.25">
      <c r="H36" s="10"/>
      <c r="K36" s="14"/>
      <c r="O36" s="13"/>
      <c r="P36" s="13"/>
      <c r="Q36" s="13"/>
    </row>
    <row r="37" spans="1:17" ht="15.75" x14ac:dyDescent="0.25">
      <c r="A37" s="6" t="s">
        <v>36</v>
      </c>
      <c r="C37" s="6" t="s">
        <v>4</v>
      </c>
      <c r="E37" s="6">
        <v>200</v>
      </c>
      <c r="F37" s="6" t="s">
        <v>12</v>
      </c>
      <c r="H37" s="10" t="s">
        <v>37</v>
      </c>
      <c r="I37" s="6" t="s">
        <v>12</v>
      </c>
      <c r="K37" s="14">
        <v>7.93</v>
      </c>
      <c r="L37" s="6" t="s">
        <v>86</v>
      </c>
      <c r="O37" s="13"/>
      <c r="P37" s="13"/>
      <c r="Q37" s="13"/>
    </row>
    <row r="38" spans="1:17" ht="15.75" x14ac:dyDescent="0.25">
      <c r="A38" s="6" t="s">
        <v>38</v>
      </c>
      <c r="C38" s="6" t="s">
        <v>5</v>
      </c>
      <c r="E38" s="6">
        <v>200</v>
      </c>
      <c r="F38" s="6" t="s">
        <v>12</v>
      </c>
      <c r="H38" s="10" t="s">
        <v>29</v>
      </c>
      <c r="I38" s="6" t="s">
        <v>12</v>
      </c>
      <c r="K38" s="14">
        <v>9.19</v>
      </c>
      <c r="L38" s="6" t="s">
        <v>86</v>
      </c>
      <c r="O38" s="13"/>
      <c r="P38" s="13"/>
      <c r="Q38" s="13"/>
    </row>
    <row r="39" spans="1:17" ht="15.75" x14ac:dyDescent="0.25">
      <c r="A39" s="6" t="s">
        <v>50</v>
      </c>
      <c r="C39" s="6" t="s">
        <v>48</v>
      </c>
      <c r="E39" s="6">
        <v>200</v>
      </c>
      <c r="F39" s="6" t="s">
        <v>12</v>
      </c>
      <c r="H39" s="10">
        <v>386</v>
      </c>
      <c r="I39" s="6" t="s">
        <v>12</v>
      </c>
      <c r="K39" s="7">
        <v>1.42</v>
      </c>
      <c r="L39" s="6" t="s">
        <v>86</v>
      </c>
      <c r="O39" s="13"/>
      <c r="P39" s="13"/>
      <c r="Q39" s="13"/>
    </row>
    <row r="40" spans="1:17" ht="15.75" x14ac:dyDescent="0.25">
      <c r="H40" s="10"/>
      <c r="K40" s="8">
        <f>SUM(K37:K39)</f>
        <v>18.54</v>
      </c>
      <c r="L40" s="9" t="s">
        <v>87</v>
      </c>
      <c r="O40" s="13"/>
      <c r="P40" s="13"/>
      <c r="Q40" s="13"/>
    </row>
    <row r="41" spans="1:17" x14ac:dyDescent="0.25">
      <c r="H41" s="10"/>
      <c r="K41" s="7"/>
      <c r="O41" s="13"/>
      <c r="P41" s="13"/>
      <c r="Q41" s="13"/>
    </row>
    <row r="42" spans="1:17" ht="15.75" x14ac:dyDescent="0.25">
      <c r="A42" s="6" t="s">
        <v>39</v>
      </c>
      <c r="C42" s="6" t="s">
        <v>4</v>
      </c>
      <c r="E42" s="6">
        <v>200</v>
      </c>
      <c r="F42" s="6" t="s">
        <v>12</v>
      </c>
      <c r="H42" s="10" t="s">
        <v>37</v>
      </c>
      <c r="I42" s="6" t="s">
        <v>12</v>
      </c>
      <c r="K42" s="14">
        <v>5.35</v>
      </c>
      <c r="L42" s="6" t="s">
        <v>86</v>
      </c>
      <c r="O42" s="13"/>
      <c r="P42" s="13"/>
      <c r="Q42" s="13"/>
    </row>
    <row r="43" spans="1:17" ht="15.75" x14ac:dyDescent="0.25">
      <c r="A43" s="6" t="s">
        <v>40</v>
      </c>
      <c r="C43" s="6" t="s">
        <v>5</v>
      </c>
      <c r="E43" s="6">
        <v>200</v>
      </c>
      <c r="F43" s="6" t="s">
        <v>12</v>
      </c>
      <c r="H43" s="10" t="s">
        <v>29</v>
      </c>
      <c r="I43" s="6" t="s">
        <v>12</v>
      </c>
      <c r="K43" s="14">
        <v>3.88</v>
      </c>
      <c r="L43" s="6" t="s">
        <v>86</v>
      </c>
      <c r="O43" s="13"/>
      <c r="P43" s="13"/>
      <c r="Q43" s="13"/>
    </row>
    <row r="44" spans="1:17" ht="15.75" x14ac:dyDescent="0.25">
      <c r="A44" s="6" t="s">
        <v>41</v>
      </c>
      <c r="C44" s="6" t="s">
        <v>48</v>
      </c>
      <c r="E44" s="6">
        <v>200</v>
      </c>
      <c r="F44" s="6" t="s">
        <v>12</v>
      </c>
      <c r="H44" s="10" t="s">
        <v>42</v>
      </c>
      <c r="I44" s="6" t="s">
        <v>12</v>
      </c>
      <c r="K44" s="7">
        <v>5</v>
      </c>
      <c r="L44" s="6" t="s">
        <v>86</v>
      </c>
      <c r="O44" s="13"/>
      <c r="P44" s="13"/>
      <c r="Q44" s="13"/>
    </row>
    <row r="45" spans="1:17" ht="15.75" x14ac:dyDescent="0.25">
      <c r="H45" s="10"/>
      <c r="K45" s="8">
        <f>SUM(K42:K44)</f>
        <v>14.23</v>
      </c>
      <c r="L45" s="9" t="s">
        <v>87</v>
      </c>
      <c r="O45" s="13"/>
      <c r="P45" s="13"/>
      <c r="Q45" s="13"/>
    </row>
    <row r="46" spans="1:17" x14ac:dyDescent="0.25">
      <c r="H46" s="10"/>
      <c r="K46" s="7"/>
      <c r="O46" s="13"/>
      <c r="P46" s="13"/>
      <c r="Q46" s="13"/>
    </row>
    <row r="47" spans="1:17" ht="15.75" x14ac:dyDescent="0.25">
      <c r="A47" s="6" t="s">
        <v>43</v>
      </c>
      <c r="C47" s="6" t="s">
        <v>4</v>
      </c>
      <c r="E47" s="6">
        <v>140</v>
      </c>
      <c r="F47" s="6" t="s">
        <v>12</v>
      </c>
      <c r="H47" s="10" t="s">
        <v>44</v>
      </c>
      <c r="I47" s="6" t="s">
        <v>12</v>
      </c>
      <c r="K47" s="7">
        <v>0.79</v>
      </c>
      <c r="L47" s="6" t="s">
        <v>86</v>
      </c>
      <c r="O47" s="13"/>
      <c r="P47" s="13"/>
      <c r="Q47" s="13"/>
    </row>
    <row r="48" spans="1:17" ht="15.75" x14ac:dyDescent="0.25">
      <c r="A48" s="6" t="s">
        <v>43</v>
      </c>
      <c r="C48" s="6" t="s">
        <v>4</v>
      </c>
      <c r="E48" s="6">
        <v>140</v>
      </c>
      <c r="F48" s="6" t="s">
        <v>12</v>
      </c>
      <c r="H48" s="10" t="s">
        <v>45</v>
      </c>
      <c r="I48" s="6" t="s">
        <v>12</v>
      </c>
      <c r="K48" s="13">
        <v>0.66</v>
      </c>
      <c r="L48" s="6" t="s">
        <v>86</v>
      </c>
      <c r="O48" s="13"/>
      <c r="P48" s="13"/>
      <c r="Q48" s="13"/>
    </row>
    <row r="49" spans="1:17" ht="15.75" x14ac:dyDescent="0.25">
      <c r="A49" s="6" t="s">
        <v>46</v>
      </c>
      <c r="C49" s="6" t="s">
        <v>5</v>
      </c>
      <c r="E49" s="6">
        <v>140</v>
      </c>
      <c r="F49" s="6" t="s">
        <v>12</v>
      </c>
      <c r="H49" s="10" t="s">
        <v>29</v>
      </c>
      <c r="I49" s="6" t="s">
        <v>12</v>
      </c>
      <c r="K49" s="13">
        <v>0.53</v>
      </c>
      <c r="L49" s="6" t="s">
        <v>86</v>
      </c>
      <c r="O49" s="13"/>
      <c r="P49" s="13"/>
      <c r="Q49" s="13"/>
    </row>
    <row r="50" spans="1:17" ht="15.75" x14ac:dyDescent="0.25">
      <c r="A50" s="6" t="s">
        <v>46</v>
      </c>
      <c r="C50" s="6" t="s">
        <v>5</v>
      </c>
      <c r="E50" s="6">
        <v>140</v>
      </c>
      <c r="F50" s="6" t="s">
        <v>12</v>
      </c>
      <c r="H50" s="10" t="s">
        <v>29</v>
      </c>
      <c r="I50" s="6" t="s">
        <v>12</v>
      </c>
      <c r="K50" s="13">
        <v>0.97</v>
      </c>
      <c r="L50" s="6" t="s">
        <v>86</v>
      </c>
      <c r="O50" s="13"/>
      <c r="P50" s="13"/>
      <c r="Q50" s="13"/>
    </row>
    <row r="51" spans="1:17" ht="15.75" x14ac:dyDescent="0.25">
      <c r="A51" s="6" t="s">
        <v>52</v>
      </c>
      <c r="C51" s="6" t="s">
        <v>48</v>
      </c>
      <c r="E51" s="6">
        <v>140</v>
      </c>
      <c r="F51" s="6" t="s">
        <v>12</v>
      </c>
      <c r="H51" s="10">
        <v>330</v>
      </c>
      <c r="I51" s="6" t="s">
        <v>12</v>
      </c>
      <c r="K51" s="13">
        <v>0.21</v>
      </c>
      <c r="L51" s="6" t="s">
        <v>86</v>
      </c>
      <c r="O51" s="13" t="s">
        <v>47</v>
      </c>
      <c r="P51" s="13" t="s">
        <v>47</v>
      </c>
      <c r="Q51" s="13"/>
    </row>
    <row r="52" spans="1:17" ht="15.75" x14ac:dyDescent="0.25">
      <c r="K52" s="8">
        <f>SUM(K47:K51)</f>
        <v>3.16</v>
      </c>
      <c r="L52" s="9" t="s">
        <v>87</v>
      </c>
      <c r="O52" s="13"/>
      <c r="P52" s="13"/>
      <c r="Q52" s="13"/>
    </row>
    <row r="53" spans="1:17" x14ac:dyDescent="0.25">
      <c r="L53" s="9"/>
      <c r="O53" s="13"/>
      <c r="P53" s="13"/>
      <c r="Q53" s="13"/>
    </row>
    <row r="54" spans="1:17" ht="15.75" x14ac:dyDescent="0.25">
      <c r="K54" s="8">
        <f>SUM(K52,K45,K40,K35,K31,K16,K14)</f>
        <v>98.74</v>
      </c>
      <c r="L54" s="9" t="s">
        <v>87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K7" sqref="K7"/>
    </sheetView>
  </sheetViews>
  <sheetFormatPr defaultRowHeight="13.5" x14ac:dyDescent="0.25"/>
  <cols>
    <col min="1" max="1" width="22.85546875" style="6" bestFit="1" customWidth="1"/>
    <col min="2" max="2" width="3.7109375" style="6" customWidth="1"/>
    <col min="3" max="3" width="9.140625" style="6"/>
    <col min="4" max="4" width="3.7109375" style="6" customWidth="1"/>
    <col min="5" max="5" width="10" style="6" bestFit="1" customWidth="1"/>
    <col min="6" max="6" width="4.42578125" style="6" bestFit="1" customWidth="1"/>
    <col min="7" max="7" width="3.7109375" style="6" customWidth="1"/>
    <col min="8" max="8" width="9.140625" style="6"/>
    <col min="9" max="9" width="4.42578125" style="6" bestFit="1" customWidth="1"/>
    <col min="10" max="10" width="3.7109375" style="6" customWidth="1"/>
    <col min="11" max="11" width="9.140625" style="7"/>
    <col min="12" max="12" width="3.42578125" style="6" bestFit="1" customWidth="1"/>
    <col min="13" max="13" width="3.7109375" style="6" customWidth="1"/>
    <col min="14" max="16384" width="9.140625" style="6"/>
  </cols>
  <sheetData>
    <row r="1" spans="1:12" x14ac:dyDescent="0.25">
      <c r="A1" s="6" t="s">
        <v>77</v>
      </c>
    </row>
    <row r="3" spans="1:12" x14ac:dyDescent="0.25">
      <c r="A3" s="6" t="s">
        <v>0</v>
      </c>
      <c r="C3" s="6" t="s">
        <v>6</v>
      </c>
      <c r="E3" s="6" t="s">
        <v>11</v>
      </c>
      <c r="H3" s="6" t="s">
        <v>22</v>
      </c>
      <c r="K3" s="7" t="s">
        <v>8</v>
      </c>
    </row>
    <row r="4" spans="1:12" ht="15.75" x14ac:dyDescent="0.25">
      <c r="A4" s="6" t="s">
        <v>53</v>
      </c>
      <c r="C4" s="6" t="s">
        <v>4</v>
      </c>
      <c r="E4" s="6">
        <v>300</v>
      </c>
      <c r="F4" s="6" t="s">
        <v>12</v>
      </c>
      <c r="H4" s="15" t="s">
        <v>29</v>
      </c>
      <c r="I4" s="6" t="s">
        <v>12</v>
      </c>
      <c r="K4" s="7">
        <v>0.16</v>
      </c>
      <c r="L4" s="6" t="s">
        <v>86</v>
      </c>
    </row>
    <row r="5" spans="1:12" ht="15.75" x14ac:dyDescent="0.25">
      <c r="A5" s="6" t="s">
        <v>54</v>
      </c>
      <c r="C5" s="6" t="s">
        <v>2</v>
      </c>
      <c r="E5" s="6">
        <v>300</v>
      </c>
      <c r="F5" s="6" t="s">
        <v>12</v>
      </c>
      <c r="H5" s="15" t="s">
        <v>17</v>
      </c>
      <c r="I5" s="6" t="s">
        <v>12</v>
      </c>
      <c r="K5" s="7">
        <v>3.66</v>
      </c>
      <c r="L5" s="6" t="s">
        <v>86</v>
      </c>
    </row>
    <row r="6" spans="1:12" ht="15.75" x14ac:dyDescent="0.25">
      <c r="A6" s="6" t="s">
        <v>55</v>
      </c>
      <c r="C6" s="6" t="s">
        <v>4</v>
      </c>
      <c r="E6" s="6">
        <v>300</v>
      </c>
      <c r="F6" s="6" t="s">
        <v>12</v>
      </c>
      <c r="H6" s="15" t="s">
        <v>29</v>
      </c>
      <c r="I6" s="6" t="s">
        <v>12</v>
      </c>
      <c r="K6" s="7">
        <v>0.16</v>
      </c>
      <c r="L6" s="6" t="s">
        <v>86</v>
      </c>
    </row>
    <row r="7" spans="1:12" ht="15.75" x14ac:dyDescent="0.25">
      <c r="A7" s="6" t="s">
        <v>56</v>
      </c>
      <c r="C7" s="6" t="s">
        <v>48</v>
      </c>
      <c r="E7" s="6">
        <v>300</v>
      </c>
      <c r="F7" s="6" t="s">
        <v>12</v>
      </c>
      <c r="H7" s="15"/>
      <c r="K7" s="7">
        <v>0.11</v>
      </c>
      <c r="L7" s="6" t="s">
        <v>86</v>
      </c>
    </row>
    <row r="8" spans="1:12" ht="15.75" x14ac:dyDescent="0.25">
      <c r="A8" s="6" t="s">
        <v>56</v>
      </c>
      <c r="C8" s="6" t="s">
        <v>48</v>
      </c>
      <c r="E8" s="6">
        <v>300</v>
      </c>
      <c r="F8" s="6" t="s">
        <v>12</v>
      </c>
      <c r="H8" s="15"/>
      <c r="K8" s="7">
        <v>0.12</v>
      </c>
      <c r="L8" s="6" t="s">
        <v>86</v>
      </c>
    </row>
    <row r="9" spans="1:12" ht="15.75" x14ac:dyDescent="0.25">
      <c r="A9" s="6" t="s">
        <v>56</v>
      </c>
      <c r="C9" s="6" t="s">
        <v>48</v>
      </c>
      <c r="E9" s="6">
        <v>300</v>
      </c>
      <c r="F9" s="6" t="s">
        <v>12</v>
      </c>
      <c r="H9" s="15"/>
      <c r="K9" s="7">
        <v>0.39</v>
      </c>
      <c r="L9" s="6" t="s">
        <v>86</v>
      </c>
    </row>
    <row r="10" spans="1:12" ht="15.75" x14ac:dyDescent="0.25">
      <c r="H10" s="15"/>
      <c r="K10" s="8">
        <f>SUM(K4:K9)</f>
        <v>4.6000000000000005</v>
      </c>
      <c r="L10" s="9" t="s">
        <v>87</v>
      </c>
    </row>
    <row r="11" spans="1:12" x14ac:dyDescent="0.25">
      <c r="H11" s="15"/>
    </row>
    <row r="12" spans="1:12" ht="15.75" x14ac:dyDescent="0.25">
      <c r="A12" s="6" t="s">
        <v>57</v>
      </c>
      <c r="C12" s="6" t="s">
        <v>4</v>
      </c>
      <c r="E12" s="6">
        <v>300</v>
      </c>
      <c r="F12" s="6" t="s">
        <v>12</v>
      </c>
      <c r="H12" s="15" t="s">
        <v>29</v>
      </c>
      <c r="I12" s="6" t="s">
        <v>12</v>
      </c>
      <c r="K12" s="7">
        <f>7.66*(300/575)</f>
        <v>3.9965217391304346</v>
      </c>
      <c r="L12" s="6" t="s">
        <v>86</v>
      </c>
    </row>
    <row r="13" spans="1:12" ht="15.75" x14ac:dyDescent="0.25">
      <c r="A13" s="6" t="s">
        <v>58</v>
      </c>
      <c r="C13" s="6" t="s">
        <v>5</v>
      </c>
      <c r="E13" s="6">
        <v>300</v>
      </c>
      <c r="F13" s="6" t="s">
        <v>12</v>
      </c>
      <c r="H13" s="15" t="s">
        <v>29</v>
      </c>
      <c r="I13" s="6" t="s">
        <v>12</v>
      </c>
      <c r="K13" s="7">
        <f>7.66*(300/575)</f>
        <v>3.9965217391304346</v>
      </c>
      <c r="L13" s="6" t="s">
        <v>86</v>
      </c>
    </row>
    <row r="14" spans="1:12" ht="15.75" x14ac:dyDescent="0.25">
      <c r="A14" s="6" t="s">
        <v>59</v>
      </c>
      <c r="C14" s="6" t="s">
        <v>48</v>
      </c>
      <c r="E14" s="6">
        <v>300</v>
      </c>
      <c r="F14" s="6" t="s">
        <v>12</v>
      </c>
      <c r="H14" s="15"/>
      <c r="K14" s="7">
        <f>2.5*(300/575)</f>
        <v>1.3043478260869565</v>
      </c>
      <c r="L14" s="6" t="s">
        <v>86</v>
      </c>
    </row>
    <row r="15" spans="1:12" ht="15.75" x14ac:dyDescent="0.25">
      <c r="H15" s="15"/>
      <c r="K15" s="8">
        <f>SUM(K12:K14)</f>
        <v>9.2973913043478262</v>
      </c>
      <c r="L15" s="9" t="s">
        <v>87</v>
      </c>
    </row>
    <row r="16" spans="1:12" x14ac:dyDescent="0.25">
      <c r="H16" s="15"/>
    </row>
    <row r="17" spans="1:12" ht="15.75" x14ac:dyDescent="0.25">
      <c r="A17" s="6" t="s">
        <v>60</v>
      </c>
      <c r="C17" s="6" t="s">
        <v>2</v>
      </c>
      <c r="E17" s="6">
        <v>300</v>
      </c>
      <c r="F17" s="6" t="s">
        <v>12</v>
      </c>
      <c r="H17" s="15" t="s">
        <v>61</v>
      </c>
      <c r="I17" s="6" t="s">
        <v>12</v>
      </c>
      <c r="K17" s="8">
        <v>8.1999999999999993</v>
      </c>
      <c r="L17" s="9" t="s">
        <v>87</v>
      </c>
    </row>
    <row r="18" spans="1:12" x14ac:dyDescent="0.25">
      <c r="H18" s="15"/>
    </row>
    <row r="19" spans="1:12" ht="15.75" x14ac:dyDescent="0.25">
      <c r="A19" s="6" t="s">
        <v>78</v>
      </c>
      <c r="C19" s="6" t="s">
        <v>4</v>
      </c>
      <c r="E19" s="6">
        <v>200</v>
      </c>
      <c r="F19" s="6" t="s">
        <v>12</v>
      </c>
      <c r="H19" s="15" t="s">
        <v>29</v>
      </c>
      <c r="I19" s="6" t="s">
        <v>12</v>
      </c>
      <c r="K19" s="7">
        <v>0.95</v>
      </c>
      <c r="L19" s="6" t="s">
        <v>86</v>
      </c>
    </row>
    <row r="20" spans="1:12" ht="15.75" x14ac:dyDescent="0.25">
      <c r="A20" s="6" t="s">
        <v>78</v>
      </c>
      <c r="C20" s="6" t="s">
        <v>4</v>
      </c>
      <c r="E20" s="6">
        <v>200</v>
      </c>
      <c r="F20" s="6" t="s">
        <v>12</v>
      </c>
      <c r="H20" s="15" t="s">
        <v>29</v>
      </c>
      <c r="I20" s="6" t="s">
        <v>12</v>
      </c>
      <c r="K20" s="7">
        <v>1.07</v>
      </c>
      <c r="L20" s="6" t="s">
        <v>86</v>
      </c>
    </row>
    <row r="21" spans="1:12" ht="15.75" x14ac:dyDescent="0.25">
      <c r="A21" s="6" t="s">
        <v>79</v>
      </c>
      <c r="C21" s="6" t="s">
        <v>4</v>
      </c>
      <c r="E21" s="6">
        <v>200</v>
      </c>
      <c r="F21" s="6" t="s">
        <v>12</v>
      </c>
      <c r="H21" s="15" t="s">
        <v>29</v>
      </c>
      <c r="I21" s="6" t="s">
        <v>12</v>
      </c>
      <c r="K21" s="7">
        <v>1.18</v>
      </c>
      <c r="L21" s="6" t="s">
        <v>86</v>
      </c>
    </row>
    <row r="22" spans="1:12" ht="15.75" x14ac:dyDescent="0.25">
      <c r="A22" s="6" t="s">
        <v>79</v>
      </c>
      <c r="C22" s="6" t="s">
        <v>4</v>
      </c>
      <c r="E22" s="6">
        <v>200</v>
      </c>
      <c r="F22" s="6" t="s">
        <v>12</v>
      </c>
      <c r="H22" s="15" t="s">
        <v>29</v>
      </c>
      <c r="I22" s="6" t="s">
        <v>12</v>
      </c>
      <c r="K22" s="7">
        <v>1.38</v>
      </c>
      <c r="L22" s="6" t="s">
        <v>86</v>
      </c>
    </row>
    <row r="23" spans="1:12" ht="15.75" x14ac:dyDescent="0.25">
      <c r="A23" s="6" t="s">
        <v>80</v>
      </c>
      <c r="C23" s="6" t="s">
        <v>5</v>
      </c>
      <c r="E23" s="6">
        <v>200</v>
      </c>
      <c r="F23" s="6" t="s">
        <v>12</v>
      </c>
      <c r="H23" s="15" t="s">
        <v>29</v>
      </c>
      <c r="I23" s="6" t="s">
        <v>12</v>
      </c>
      <c r="K23" s="7">
        <v>1.62</v>
      </c>
      <c r="L23" s="6" t="s">
        <v>86</v>
      </c>
    </row>
    <row r="24" spans="1:12" ht="15.75" x14ac:dyDescent="0.25">
      <c r="A24" s="6" t="s">
        <v>80</v>
      </c>
      <c r="C24" s="6" t="s">
        <v>5</v>
      </c>
      <c r="E24" s="6">
        <v>200</v>
      </c>
      <c r="F24" s="6" t="s">
        <v>12</v>
      </c>
      <c r="H24" s="15" t="s">
        <v>29</v>
      </c>
      <c r="I24" s="6" t="s">
        <v>12</v>
      </c>
      <c r="K24" s="7">
        <v>3.24</v>
      </c>
      <c r="L24" s="6" t="s">
        <v>86</v>
      </c>
    </row>
    <row r="25" spans="1:12" ht="15.75" x14ac:dyDescent="0.25">
      <c r="A25" s="6" t="s">
        <v>80</v>
      </c>
      <c r="C25" s="6" t="s">
        <v>5</v>
      </c>
      <c r="E25" s="6">
        <v>200</v>
      </c>
      <c r="F25" s="6" t="s">
        <v>12</v>
      </c>
      <c r="H25" s="15" t="s">
        <v>29</v>
      </c>
      <c r="I25" s="6" t="s">
        <v>12</v>
      </c>
      <c r="K25" s="7">
        <v>3.41</v>
      </c>
      <c r="L25" s="6" t="s">
        <v>86</v>
      </c>
    </row>
    <row r="26" spans="1:12" ht="15.75" x14ac:dyDescent="0.25">
      <c r="A26" s="6" t="s">
        <v>81</v>
      </c>
      <c r="C26" s="6" t="s">
        <v>5</v>
      </c>
      <c r="E26" s="6">
        <v>200</v>
      </c>
      <c r="F26" s="6" t="s">
        <v>12</v>
      </c>
      <c r="H26" s="15" t="s">
        <v>29</v>
      </c>
      <c r="I26" s="6" t="s">
        <v>12</v>
      </c>
      <c r="K26" s="7">
        <v>4.29</v>
      </c>
      <c r="L26" s="6" t="s">
        <v>86</v>
      </c>
    </row>
    <row r="27" spans="1:12" ht="15.75" x14ac:dyDescent="0.25">
      <c r="A27" s="6" t="s">
        <v>62</v>
      </c>
      <c r="C27" s="6" t="s">
        <v>48</v>
      </c>
      <c r="E27" s="6">
        <v>200</v>
      </c>
      <c r="F27" s="6" t="s">
        <v>12</v>
      </c>
      <c r="H27" s="15"/>
      <c r="K27" s="7">
        <v>1.1499999999999999</v>
      </c>
      <c r="L27" s="6" t="s">
        <v>86</v>
      </c>
    </row>
    <row r="28" spans="1:12" ht="15.75" x14ac:dyDescent="0.25">
      <c r="A28" s="6" t="s">
        <v>62</v>
      </c>
      <c r="C28" s="6" t="s">
        <v>48</v>
      </c>
      <c r="E28" s="6">
        <v>200</v>
      </c>
      <c r="F28" s="6" t="s">
        <v>12</v>
      </c>
      <c r="H28" s="15"/>
      <c r="K28" s="7">
        <v>1.32</v>
      </c>
      <c r="L28" s="6" t="s">
        <v>86</v>
      </c>
    </row>
    <row r="29" spans="1:12" ht="15.75" x14ac:dyDescent="0.25">
      <c r="A29" s="6" t="s">
        <v>62</v>
      </c>
      <c r="C29" s="6" t="s">
        <v>48</v>
      </c>
      <c r="E29" s="6">
        <v>200</v>
      </c>
      <c r="F29" s="6" t="s">
        <v>12</v>
      </c>
      <c r="H29" s="15"/>
      <c r="K29" s="7">
        <v>0.32</v>
      </c>
      <c r="L29" s="6" t="s">
        <v>86</v>
      </c>
    </row>
    <row r="30" spans="1:12" ht="15.75" x14ac:dyDescent="0.25">
      <c r="A30" s="6" t="s">
        <v>62</v>
      </c>
      <c r="C30" s="6" t="s">
        <v>48</v>
      </c>
      <c r="E30" s="6">
        <v>200</v>
      </c>
      <c r="F30" s="6" t="s">
        <v>12</v>
      </c>
      <c r="H30" s="15"/>
      <c r="K30" s="7">
        <v>0.55000000000000004</v>
      </c>
      <c r="L30" s="6" t="s">
        <v>86</v>
      </c>
    </row>
    <row r="31" spans="1:12" ht="15.75" x14ac:dyDescent="0.25">
      <c r="A31" s="6" t="s">
        <v>62</v>
      </c>
      <c r="C31" s="6" t="s">
        <v>48</v>
      </c>
      <c r="E31" s="6">
        <v>200</v>
      </c>
      <c r="F31" s="6" t="s">
        <v>12</v>
      </c>
      <c r="H31" s="15"/>
      <c r="K31" s="7">
        <v>1.83</v>
      </c>
      <c r="L31" s="6" t="s">
        <v>86</v>
      </c>
    </row>
    <row r="32" spans="1:12" ht="15.75" x14ac:dyDescent="0.25">
      <c r="H32" s="15"/>
      <c r="K32" s="8">
        <f>SUM(K19:K31)</f>
        <v>22.310000000000002</v>
      </c>
      <c r="L32" s="9" t="s">
        <v>87</v>
      </c>
    </row>
    <row r="33" spans="1:12" x14ac:dyDescent="0.25">
      <c r="H33" s="15"/>
    </row>
    <row r="34" spans="1:12" ht="15.75" x14ac:dyDescent="0.25">
      <c r="A34" s="6" t="s">
        <v>64</v>
      </c>
      <c r="C34" s="6" t="s">
        <v>4</v>
      </c>
      <c r="E34" s="6">
        <v>300</v>
      </c>
      <c r="F34" s="6" t="s">
        <v>12</v>
      </c>
      <c r="H34" s="15" t="s">
        <v>65</v>
      </c>
      <c r="I34" s="6" t="s">
        <v>12</v>
      </c>
      <c r="K34" s="7">
        <v>4.45</v>
      </c>
      <c r="L34" s="6" t="s">
        <v>86</v>
      </c>
    </row>
    <row r="35" spans="1:12" ht="15.75" x14ac:dyDescent="0.25">
      <c r="A35" s="6" t="s">
        <v>66</v>
      </c>
      <c r="C35" s="6" t="s">
        <v>5</v>
      </c>
      <c r="E35" s="6">
        <v>300</v>
      </c>
      <c r="F35" s="6" t="s">
        <v>12</v>
      </c>
      <c r="H35" s="15" t="s">
        <v>65</v>
      </c>
      <c r="I35" s="6" t="s">
        <v>12</v>
      </c>
      <c r="K35" s="7">
        <v>4.4400000000000004</v>
      </c>
      <c r="L35" s="6" t="s">
        <v>86</v>
      </c>
    </row>
    <row r="36" spans="1:12" ht="15.75" x14ac:dyDescent="0.25">
      <c r="A36" s="6" t="s">
        <v>67</v>
      </c>
      <c r="C36" s="6" t="s">
        <v>48</v>
      </c>
      <c r="E36" s="6">
        <v>300</v>
      </c>
      <c r="F36" s="6" t="s">
        <v>12</v>
      </c>
      <c r="H36" s="15"/>
      <c r="K36" s="7">
        <v>2.99</v>
      </c>
      <c r="L36" s="6" t="s">
        <v>86</v>
      </c>
    </row>
    <row r="37" spans="1:12" ht="15.75" x14ac:dyDescent="0.25">
      <c r="A37" s="6" t="s">
        <v>67</v>
      </c>
      <c r="C37" s="6" t="s">
        <v>48</v>
      </c>
      <c r="E37" s="6">
        <v>300</v>
      </c>
      <c r="F37" s="6" t="s">
        <v>12</v>
      </c>
      <c r="H37" s="15"/>
      <c r="K37" s="7">
        <v>0.11</v>
      </c>
      <c r="L37" s="6" t="s">
        <v>86</v>
      </c>
    </row>
    <row r="38" spans="1:12" ht="15.75" x14ac:dyDescent="0.25">
      <c r="A38" s="6" t="s">
        <v>68</v>
      </c>
      <c r="C38" s="6" t="s">
        <v>4</v>
      </c>
      <c r="E38" s="6">
        <v>300</v>
      </c>
      <c r="F38" s="6" t="s">
        <v>12</v>
      </c>
      <c r="H38" s="15" t="s">
        <v>29</v>
      </c>
      <c r="I38" s="6" t="s">
        <v>12</v>
      </c>
      <c r="K38" s="7">
        <f>4.13*(300/360)</f>
        <v>3.4416666666666669</v>
      </c>
      <c r="L38" s="6" t="s">
        <v>86</v>
      </c>
    </row>
    <row r="39" spans="1:12" ht="15.75" x14ac:dyDescent="0.25">
      <c r="H39" s="15"/>
      <c r="K39" s="8">
        <f>SUM(K34:K38)</f>
        <v>15.431666666666667</v>
      </c>
      <c r="L39" s="9" t="s">
        <v>87</v>
      </c>
    </row>
    <row r="40" spans="1:12" x14ac:dyDescent="0.25">
      <c r="H40" s="15"/>
    </row>
    <row r="41" spans="1:12" ht="15.75" x14ac:dyDescent="0.25">
      <c r="A41" s="6" t="s">
        <v>69</v>
      </c>
      <c r="C41" s="6" t="s">
        <v>4</v>
      </c>
      <c r="E41" s="6">
        <v>300</v>
      </c>
      <c r="F41" s="6" t="s">
        <v>12</v>
      </c>
      <c r="H41" s="15">
        <v>180</v>
      </c>
      <c r="I41" s="6" t="s">
        <v>12</v>
      </c>
      <c r="K41" s="7">
        <v>0.24</v>
      </c>
      <c r="L41" s="6" t="s">
        <v>86</v>
      </c>
    </row>
    <row r="42" spans="1:12" ht="15.75" x14ac:dyDescent="0.25">
      <c r="A42" s="6" t="s">
        <v>70</v>
      </c>
      <c r="C42" s="6" t="s">
        <v>5</v>
      </c>
      <c r="E42" s="6">
        <v>300</v>
      </c>
      <c r="F42" s="6" t="s">
        <v>12</v>
      </c>
      <c r="H42" s="15" t="s">
        <v>29</v>
      </c>
      <c r="I42" s="6" t="s">
        <v>12</v>
      </c>
      <c r="K42" s="7">
        <f>4.13*(300/360)</f>
        <v>3.4416666666666669</v>
      </c>
      <c r="L42" s="6" t="s">
        <v>86</v>
      </c>
    </row>
    <row r="43" spans="1:12" ht="15.75" x14ac:dyDescent="0.25">
      <c r="A43" s="6" t="s">
        <v>71</v>
      </c>
      <c r="C43" s="6" t="s">
        <v>5</v>
      </c>
      <c r="E43" s="6">
        <v>300</v>
      </c>
      <c r="F43" s="6" t="s">
        <v>12</v>
      </c>
      <c r="H43" s="15">
        <v>180</v>
      </c>
      <c r="I43" s="6" t="s">
        <v>12</v>
      </c>
      <c r="K43" s="7">
        <v>0.23</v>
      </c>
      <c r="L43" s="6" t="s">
        <v>86</v>
      </c>
    </row>
    <row r="44" spans="1:12" ht="15.75" x14ac:dyDescent="0.25">
      <c r="A44" s="6" t="s">
        <v>72</v>
      </c>
      <c r="C44" s="6" t="s">
        <v>48</v>
      </c>
      <c r="E44" s="6">
        <v>300</v>
      </c>
      <c r="F44" s="6" t="s">
        <v>12</v>
      </c>
      <c r="H44" s="15"/>
      <c r="K44" s="7">
        <v>2.52</v>
      </c>
      <c r="L44" s="6" t="s">
        <v>86</v>
      </c>
    </row>
    <row r="45" spans="1:12" ht="15.75" x14ac:dyDescent="0.25">
      <c r="H45" s="15"/>
      <c r="K45" s="8">
        <f>SUM(K41:K44)</f>
        <v>6.4316666666666666</v>
      </c>
      <c r="L45" s="9" t="s">
        <v>87</v>
      </c>
    </row>
    <row r="46" spans="1:12" x14ac:dyDescent="0.25">
      <c r="H46" s="15"/>
    </row>
    <row r="47" spans="1:12" ht="15.75" x14ac:dyDescent="0.25">
      <c r="A47" s="6" t="s">
        <v>73</v>
      </c>
      <c r="C47" s="6" t="s">
        <v>4</v>
      </c>
      <c r="E47" s="6">
        <v>420</v>
      </c>
      <c r="F47" s="6" t="s">
        <v>12</v>
      </c>
      <c r="H47" s="15" t="s">
        <v>29</v>
      </c>
      <c r="I47" s="6" t="s">
        <v>12</v>
      </c>
      <c r="K47" s="7">
        <f>4.82*(300/420)</f>
        <v>3.4428571428571431</v>
      </c>
      <c r="L47" s="6" t="s">
        <v>86</v>
      </c>
    </row>
    <row r="48" spans="1:12" ht="15.75" x14ac:dyDescent="0.25">
      <c r="A48" s="6" t="s">
        <v>74</v>
      </c>
      <c r="C48" s="6" t="s">
        <v>4</v>
      </c>
      <c r="E48" s="6">
        <v>420</v>
      </c>
      <c r="F48" s="6" t="s">
        <v>12</v>
      </c>
      <c r="H48" s="15" t="s">
        <v>29</v>
      </c>
      <c r="I48" s="6" t="s">
        <v>12</v>
      </c>
      <c r="K48" s="7">
        <f>4.82*(300/420)</f>
        <v>3.4428571428571431</v>
      </c>
      <c r="L48" s="6" t="s">
        <v>86</v>
      </c>
    </row>
    <row r="49" spans="1:12" ht="15.75" x14ac:dyDescent="0.25">
      <c r="A49" s="6" t="s">
        <v>75</v>
      </c>
      <c r="C49" s="6" t="s">
        <v>48</v>
      </c>
      <c r="E49" s="6">
        <v>420</v>
      </c>
      <c r="F49" s="6" t="s">
        <v>12</v>
      </c>
      <c r="H49" s="15"/>
      <c r="K49" s="7">
        <f>4.85*(300/420)</f>
        <v>3.464285714285714</v>
      </c>
      <c r="L49" s="6" t="s">
        <v>86</v>
      </c>
    </row>
    <row r="50" spans="1:12" ht="15.75" x14ac:dyDescent="0.25">
      <c r="H50" s="15"/>
      <c r="K50" s="8">
        <f>SUM(K47:K49)</f>
        <v>10.35</v>
      </c>
      <c r="L50" s="9" t="s">
        <v>87</v>
      </c>
    </row>
    <row r="51" spans="1:12" x14ac:dyDescent="0.25">
      <c r="H51" s="15"/>
    </row>
    <row r="52" spans="1:12" ht="15.75" x14ac:dyDescent="0.25">
      <c r="A52" s="6" t="s">
        <v>82</v>
      </c>
      <c r="C52" s="6" t="s">
        <v>4</v>
      </c>
      <c r="E52" s="6">
        <v>180</v>
      </c>
      <c r="F52" s="6" t="s">
        <v>12</v>
      </c>
      <c r="H52" s="15" t="s">
        <v>29</v>
      </c>
      <c r="I52" s="6" t="s">
        <v>12</v>
      </c>
      <c r="K52" s="7">
        <v>1.08</v>
      </c>
      <c r="L52" s="6" t="s">
        <v>86</v>
      </c>
    </row>
    <row r="53" spans="1:12" ht="15.75" x14ac:dyDescent="0.25">
      <c r="A53" s="6" t="s">
        <v>82</v>
      </c>
      <c r="C53" s="6" t="s">
        <v>4</v>
      </c>
      <c r="E53" s="6">
        <v>180</v>
      </c>
      <c r="F53" s="6" t="s">
        <v>12</v>
      </c>
      <c r="H53" s="15" t="s">
        <v>29</v>
      </c>
      <c r="I53" s="6" t="s">
        <v>12</v>
      </c>
      <c r="K53" s="7">
        <v>1.4</v>
      </c>
      <c r="L53" s="6" t="s">
        <v>86</v>
      </c>
    </row>
    <row r="54" spans="1:12" ht="15.75" x14ac:dyDescent="0.25">
      <c r="A54" s="6" t="s">
        <v>82</v>
      </c>
      <c r="C54" s="6" t="s">
        <v>4</v>
      </c>
      <c r="E54" s="6">
        <v>180</v>
      </c>
      <c r="F54" s="6" t="s">
        <v>12</v>
      </c>
      <c r="H54" s="15" t="s">
        <v>29</v>
      </c>
      <c r="I54" s="6" t="s">
        <v>12</v>
      </c>
      <c r="K54" s="7">
        <v>1.4</v>
      </c>
      <c r="L54" s="6" t="s">
        <v>86</v>
      </c>
    </row>
    <row r="55" spans="1:12" ht="15.75" x14ac:dyDescent="0.25">
      <c r="A55" s="6" t="s">
        <v>83</v>
      </c>
      <c r="C55" s="6" t="s">
        <v>5</v>
      </c>
      <c r="E55" s="6">
        <v>180</v>
      </c>
      <c r="F55" s="6" t="s">
        <v>12</v>
      </c>
      <c r="H55" s="15" t="s">
        <v>29</v>
      </c>
      <c r="I55" s="6" t="s">
        <v>12</v>
      </c>
      <c r="K55" s="7">
        <v>1.83</v>
      </c>
      <c r="L55" s="6" t="s">
        <v>86</v>
      </c>
    </row>
    <row r="56" spans="1:12" ht="15.75" x14ac:dyDescent="0.25">
      <c r="A56" s="6" t="s">
        <v>83</v>
      </c>
      <c r="C56" s="6" t="s">
        <v>5</v>
      </c>
      <c r="E56" s="6">
        <v>180</v>
      </c>
      <c r="F56" s="6" t="s">
        <v>12</v>
      </c>
      <c r="H56" s="15" t="s">
        <v>29</v>
      </c>
      <c r="I56" s="6" t="s">
        <v>12</v>
      </c>
      <c r="K56" s="7">
        <v>1.83</v>
      </c>
      <c r="L56" s="6" t="s">
        <v>86</v>
      </c>
    </row>
    <row r="57" spans="1:12" ht="15.75" x14ac:dyDescent="0.25">
      <c r="A57" s="6" t="s">
        <v>76</v>
      </c>
      <c r="C57" s="6" t="s">
        <v>48</v>
      </c>
      <c r="E57" s="6">
        <v>180</v>
      </c>
      <c r="F57" s="6" t="s">
        <v>12</v>
      </c>
      <c r="H57" s="15"/>
      <c r="K57" s="7">
        <v>1.33</v>
      </c>
      <c r="L57" s="6" t="s">
        <v>86</v>
      </c>
    </row>
    <row r="58" spans="1:12" ht="15.75" x14ac:dyDescent="0.25">
      <c r="A58" s="6" t="s">
        <v>76</v>
      </c>
      <c r="C58" s="6" t="s">
        <v>48</v>
      </c>
      <c r="E58" s="6">
        <v>180</v>
      </c>
      <c r="F58" s="6" t="s">
        <v>12</v>
      </c>
      <c r="H58" s="15"/>
      <c r="K58" s="7">
        <v>1.31</v>
      </c>
      <c r="L58" s="6" t="s">
        <v>86</v>
      </c>
    </row>
    <row r="59" spans="1:12" ht="15.75" x14ac:dyDescent="0.25">
      <c r="K59" s="8">
        <f>SUM(K52:K58)</f>
        <v>10.180000000000001</v>
      </c>
      <c r="L59" s="9" t="s">
        <v>87</v>
      </c>
    </row>
    <row r="60" spans="1:12" x14ac:dyDescent="0.25">
      <c r="L60" s="9"/>
    </row>
    <row r="61" spans="1:12" ht="15.75" x14ac:dyDescent="0.25">
      <c r="K61" s="8">
        <f>SUM(K59,K50,K45,K39,K32,K17,K15,K10)</f>
        <v>86.800724637681157</v>
      </c>
      <c r="L61" s="9" t="s">
        <v>87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6" sqref="A6:M6"/>
    </sheetView>
  </sheetViews>
  <sheetFormatPr defaultRowHeight="15" x14ac:dyDescent="0.25"/>
  <cols>
    <col min="1" max="1" width="21.7109375" bestFit="1" customWidth="1"/>
    <col min="2" max="2" width="3.7109375" customWidth="1"/>
    <col min="4" max="4" width="3.7109375" customWidth="1"/>
    <col min="5" max="5" width="9.140625" style="2"/>
    <col min="6" max="6" width="3.5703125" bestFit="1" customWidth="1"/>
    <col min="7" max="7" width="3.7109375" customWidth="1"/>
    <col min="8" max="8" width="9.28515625" bestFit="1" customWidth="1"/>
    <col min="9" max="9" width="4.7109375" bestFit="1" customWidth="1"/>
    <col min="10" max="10" width="3.7109375" customWidth="1"/>
    <col min="12" max="12" width="3.5703125" bestFit="1" customWidth="1"/>
  </cols>
  <sheetData>
    <row r="1" spans="1:13" s="5" customFormat="1" ht="16.5" x14ac:dyDescent="0.3">
      <c r="A1" s="6" t="s">
        <v>88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</row>
    <row r="2" spans="1:13" s="5" customFormat="1" ht="16.5" x14ac:dyDescent="0.3">
      <c r="A2" s="6"/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</row>
    <row r="3" spans="1:13" s="5" customFormat="1" ht="16.5" x14ac:dyDescent="0.3">
      <c r="A3" s="6" t="s">
        <v>0</v>
      </c>
      <c r="B3" s="6"/>
      <c r="C3" s="6" t="s">
        <v>6</v>
      </c>
      <c r="D3" s="6"/>
      <c r="E3" s="7" t="s">
        <v>8</v>
      </c>
      <c r="F3" s="6"/>
      <c r="G3" s="6"/>
      <c r="H3" s="6" t="s">
        <v>11</v>
      </c>
      <c r="I3" s="6"/>
      <c r="J3" s="6"/>
      <c r="K3" s="6" t="s">
        <v>7</v>
      </c>
      <c r="L3" s="6"/>
      <c r="M3" s="6"/>
    </row>
    <row r="4" spans="1:13" s="5" customFormat="1" ht="16.5" x14ac:dyDescent="0.3">
      <c r="A4" s="6" t="s">
        <v>90</v>
      </c>
      <c r="B4" s="6"/>
      <c r="C4" s="6" t="s">
        <v>4</v>
      </c>
      <c r="D4" s="6"/>
      <c r="E4" s="7">
        <v>2.3199999999999998</v>
      </c>
      <c r="F4" s="6" t="s">
        <v>86</v>
      </c>
      <c r="G4" s="6"/>
      <c r="H4" s="6">
        <v>200</v>
      </c>
      <c r="I4" s="6" t="s">
        <v>12</v>
      </c>
      <c r="J4" s="6"/>
      <c r="K4" s="6">
        <v>11.58</v>
      </c>
      <c r="L4" s="6" t="s">
        <v>85</v>
      </c>
      <c r="M4" s="6"/>
    </row>
    <row r="5" spans="1:13" s="5" customFormat="1" ht="16.5" x14ac:dyDescent="0.3">
      <c r="A5" s="6" t="s">
        <v>90</v>
      </c>
      <c r="B5" s="6"/>
      <c r="C5" s="6" t="s">
        <v>4</v>
      </c>
      <c r="D5" s="6"/>
      <c r="E5" s="7">
        <v>25.37</v>
      </c>
      <c r="F5" s="6" t="s">
        <v>86</v>
      </c>
      <c r="G5" s="6"/>
      <c r="H5" s="6">
        <v>180</v>
      </c>
      <c r="I5" s="6" t="s">
        <v>12</v>
      </c>
      <c r="J5" s="6"/>
      <c r="K5" s="6">
        <v>140.93</v>
      </c>
      <c r="L5" s="6" t="s">
        <v>85</v>
      </c>
      <c r="M5" s="6"/>
    </row>
    <row r="6" spans="1:13" s="5" customFormat="1" ht="16.5" x14ac:dyDescent="0.3">
      <c r="A6" s="6" t="s">
        <v>89</v>
      </c>
      <c r="B6" s="6"/>
      <c r="C6" s="6" t="s">
        <v>4</v>
      </c>
      <c r="D6" s="6"/>
      <c r="E6" s="7">
        <v>34.869999999999997</v>
      </c>
      <c r="F6" s="6" t="s">
        <v>86</v>
      </c>
      <c r="G6" s="6"/>
      <c r="H6" s="6">
        <v>400</v>
      </c>
      <c r="I6" s="6" t="s">
        <v>12</v>
      </c>
      <c r="J6" s="6"/>
      <c r="K6" s="6">
        <v>87.18</v>
      </c>
      <c r="L6" s="6" t="s">
        <v>85</v>
      </c>
      <c r="M6" s="6"/>
    </row>
    <row r="7" spans="1:13" s="5" customFormat="1" ht="16.5" x14ac:dyDescent="0.3">
      <c r="A7" s="6" t="s">
        <v>91</v>
      </c>
      <c r="B7" s="6"/>
      <c r="C7" s="6" t="s">
        <v>4</v>
      </c>
      <c r="D7" s="6"/>
      <c r="E7" s="7">
        <v>0.189</v>
      </c>
      <c r="F7" s="6" t="s">
        <v>86</v>
      </c>
      <c r="G7" s="6"/>
      <c r="H7" s="6">
        <v>180</v>
      </c>
      <c r="I7" s="6" t="s">
        <v>12</v>
      </c>
      <c r="J7" s="6"/>
      <c r="K7" s="6">
        <v>1.05</v>
      </c>
      <c r="L7" s="6" t="s">
        <v>85</v>
      </c>
      <c r="M7" s="6"/>
    </row>
    <row r="8" spans="1:13" s="5" customFormat="1" ht="16.5" x14ac:dyDescent="0.3">
      <c r="A8" s="6" t="s">
        <v>91</v>
      </c>
      <c r="B8" s="6"/>
      <c r="C8" s="6" t="s">
        <v>4</v>
      </c>
      <c r="D8" s="6"/>
      <c r="E8" s="7">
        <v>0.28000000000000003</v>
      </c>
      <c r="F8" s="6" t="s">
        <v>86</v>
      </c>
      <c r="G8" s="6"/>
      <c r="H8" s="6">
        <v>180</v>
      </c>
      <c r="I8" s="6" t="s">
        <v>12</v>
      </c>
      <c r="J8" s="6"/>
      <c r="K8" s="6">
        <v>1.56</v>
      </c>
      <c r="L8" s="6" t="s">
        <v>85</v>
      </c>
      <c r="M8" s="6"/>
    </row>
    <row r="9" spans="1:13" s="5" customFormat="1" ht="16.5" x14ac:dyDescent="0.3">
      <c r="A9" s="6" t="s">
        <v>91</v>
      </c>
      <c r="B9" s="6"/>
      <c r="C9" s="6" t="s">
        <v>4</v>
      </c>
      <c r="D9" s="6"/>
      <c r="E9" s="7">
        <v>1.01</v>
      </c>
      <c r="F9" s="6" t="s">
        <v>86</v>
      </c>
      <c r="G9" s="6"/>
      <c r="H9" s="6">
        <v>180</v>
      </c>
      <c r="I9" s="6" t="s">
        <v>12</v>
      </c>
      <c r="J9" s="6"/>
      <c r="K9" s="6">
        <v>5.6</v>
      </c>
      <c r="L9" s="6" t="s">
        <v>85</v>
      </c>
      <c r="M9" s="6"/>
    </row>
    <row r="10" spans="1:13" s="5" customFormat="1" ht="16.5" x14ac:dyDescent="0.3">
      <c r="A10" s="6" t="s">
        <v>92</v>
      </c>
      <c r="B10" s="6"/>
      <c r="C10" s="6" t="s">
        <v>2</v>
      </c>
      <c r="D10" s="6"/>
      <c r="E10" s="7">
        <v>10.5</v>
      </c>
      <c r="F10" s="6" t="s">
        <v>86</v>
      </c>
      <c r="G10" s="6"/>
      <c r="H10" s="6">
        <v>180</v>
      </c>
      <c r="I10" s="6" t="s">
        <v>12</v>
      </c>
      <c r="J10" s="6"/>
      <c r="K10" s="6">
        <v>58.32</v>
      </c>
      <c r="L10" s="6" t="s">
        <v>85</v>
      </c>
      <c r="M10" s="6"/>
    </row>
    <row r="11" spans="1:13" s="5" customFormat="1" ht="16.5" x14ac:dyDescent="0.3">
      <c r="A11" s="6" t="s">
        <v>94</v>
      </c>
      <c r="B11" s="6"/>
      <c r="C11" s="6" t="s">
        <v>2</v>
      </c>
      <c r="D11" s="6"/>
      <c r="E11" s="7">
        <v>7.59</v>
      </c>
      <c r="F11" s="6" t="s">
        <v>86</v>
      </c>
      <c r="G11" s="6"/>
      <c r="H11" s="6">
        <v>180</v>
      </c>
      <c r="I11" s="6" t="s">
        <v>12</v>
      </c>
      <c r="J11" s="6"/>
      <c r="K11" s="6">
        <v>42.16</v>
      </c>
      <c r="L11" s="6" t="s">
        <v>85</v>
      </c>
      <c r="M11" s="6"/>
    </row>
    <row r="12" spans="1:13" s="5" customFormat="1" ht="16.5" x14ac:dyDescent="0.3">
      <c r="A12" s="6" t="s">
        <v>94</v>
      </c>
      <c r="B12" s="6"/>
      <c r="C12" s="6" t="s">
        <v>2</v>
      </c>
      <c r="D12" s="6"/>
      <c r="E12" s="7">
        <v>7.69</v>
      </c>
      <c r="F12" s="6" t="s">
        <v>86</v>
      </c>
      <c r="G12" s="6"/>
      <c r="H12" s="6">
        <v>180</v>
      </c>
      <c r="I12" s="6" t="s">
        <v>12</v>
      </c>
      <c r="J12" s="6"/>
      <c r="K12" s="6">
        <v>42.74</v>
      </c>
      <c r="L12" s="6" t="s">
        <v>85</v>
      </c>
      <c r="M12" s="6"/>
    </row>
    <row r="13" spans="1:13" s="5" customFormat="1" ht="16.5" x14ac:dyDescent="0.3">
      <c r="A13" s="6" t="s">
        <v>94</v>
      </c>
      <c r="B13" s="6"/>
      <c r="C13" s="6" t="s">
        <v>2</v>
      </c>
      <c r="D13" s="6"/>
      <c r="E13" s="7">
        <v>9.81</v>
      </c>
      <c r="F13" s="6" t="s">
        <v>86</v>
      </c>
      <c r="G13" s="6"/>
      <c r="H13" s="6">
        <v>180</v>
      </c>
      <c r="I13" s="6" t="s">
        <v>12</v>
      </c>
      <c r="J13" s="6"/>
      <c r="K13" s="6">
        <v>54.47</v>
      </c>
      <c r="L13" s="6" t="s">
        <v>85</v>
      </c>
      <c r="M13" s="6"/>
    </row>
    <row r="14" spans="1:13" s="5" customFormat="1" ht="16.5" x14ac:dyDescent="0.3">
      <c r="A14" s="6" t="s">
        <v>93</v>
      </c>
      <c r="B14" s="6"/>
      <c r="C14" s="6" t="s">
        <v>2</v>
      </c>
      <c r="D14" s="6"/>
      <c r="E14" s="7">
        <v>8.91</v>
      </c>
      <c r="F14" s="6" t="s">
        <v>86</v>
      </c>
      <c r="G14" s="6"/>
      <c r="H14" s="6">
        <v>180</v>
      </c>
      <c r="I14" s="6" t="s">
        <v>12</v>
      </c>
      <c r="J14" s="6"/>
      <c r="K14" s="6">
        <v>49.48</v>
      </c>
      <c r="L14" s="6" t="s">
        <v>85</v>
      </c>
      <c r="M14" s="6"/>
    </row>
    <row r="15" spans="1:13" s="5" customFormat="1" ht="16.5" x14ac:dyDescent="0.3">
      <c r="A15" s="6" t="s">
        <v>95</v>
      </c>
      <c r="B15" s="6"/>
      <c r="C15" s="6" t="s">
        <v>5</v>
      </c>
      <c r="D15" s="6"/>
      <c r="E15" s="7">
        <v>23.07</v>
      </c>
      <c r="F15" s="6" t="s">
        <v>86</v>
      </c>
      <c r="G15" s="6"/>
      <c r="H15" s="6">
        <v>220</v>
      </c>
      <c r="I15" s="6" t="s">
        <v>12</v>
      </c>
      <c r="J15" s="6"/>
      <c r="K15" s="6">
        <v>104.87</v>
      </c>
      <c r="L15" s="6" t="s">
        <v>85</v>
      </c>
      <c r="M15" s="6"/>
    </row>
    <row r="16" spans="1:13" s="5" customFormat="1" ht="16.5" x14ac:dyDescent="0.3">
      <c r="A16" s="6" t="s">
        <v>95</v>
      </c>
      <c r="B16" s="6"/>
      <c r="C16" s="6" t="s">
        <v>5</v>
      </c>
      <c r="D16" s="6"/>
      <c r="E16" s="7">
        <v>25.34</v>
      </c>
      <c r="F16" s="6" t="s">
        <v>86</v>
      </c>
      <c r="G16" s="6"/>
      <c r="H16" s="6">
        <v>180</v>
      </c>
      <c r="I16" s="6" t="s">
        <v>12</v>
      </c>
      <c r="J16" s="6"/>
      <c r="K16" s="6">
        <v>140.79</v>
      </c>
      <c r="L16" s="6" t="s">
        <v>85</v>
      </c>
      <c r="M16" s="6"/>
    </row>
    <row r="17" spans="1:13" s="5" customFormat="1" ht="16.5" x14ac:dyDescent="0.3">
      <c r="A17" s="6" t="s">
        <v>96</v>
      </c>
      <c r="B17" s="6"/>
      <c r="C17" s="6" t="s">
        <v>4</v>
      </c>
      <c r="D17" s="6"/>
      <c r="E17" s="7">
        <v>0.36</v>
      </c>
      <c r="F17" s="6" t="s">
        <v>86</v>
      </c>
      <c r="G17" s="6"/>
      <c r="H17" s="6">
        <v>200</v>
      </c>
      <c r="I17" s="6" t="s">
        <v>12</v>
      </c>
      <c r="J17" s="6"/>
      <c r="K17" s="6">
        <v>1.79</v>
      </c>
      <c r="L17" s="6" t="s">
        <v>85</v>
      </c>
      <c r="M17" s="6"/>
    </row>
    <row r="18" spans="1:13" s="5" customFormat="1" ht="16.5" x14ac:dyDescent="0.3">
      <c r="A18" s="6" t="s">
        <v>97</v>
      </c>
      <c r="B18" s="6"/>
      <c r="C18" s="6" t="s">
        <v>4</v>
      </c>
      <c r="D18" s="6"/>
      <c r="E18" s="7">
        <v>0.36</v>
      </c>
      <c r="F18" s="6" t="s">
        <v>86</v>
      </c>
      <c r="G18" s="6"/>
      <c r="H18" s="6">
        <v>200</v>
      </c>
      <c r="I18" s="6" t="s">
        <v>12</v>
      </c>
      <c r="J18" s="6"/>
      <c r="K18" s="6">
        <v>1.79</v>
      </c>
      <c r="L18" s="6" t="s">
        <v>85</v>
      </c>
      <c r="M18" s="6"/>
    </row>
    <row r="19" spans="1:13" s="5" customFormat="1" ht="16.5" x14ac:dyDescent="0.3">
      <c r="A19" s="6" t="s">
        <v>98</v>
      </c>
      <c r="B19" s="6"/>
      <c r="C19" s="6" t="s">
        <v>4</v>
      </c>
      <c r="D19" s="6"/>
      <c r="E19" s="7">
        <v>0.37</v>
      </c>
      <c r="F19" s="6" t="s">
        <v>86</v>
      </c>
      <c r="G19" s="6"/>
      <c r="H19" s="6">
        <v>200</v>
      </c>
      <c r="I19" s="6" t="s">
        <v>12</v>
      </c>
      <c r="J19" s="6"/>
      <c r="K19" s="6">
        <v>1.84</v>
      </c>
      <c r="L19" s="6" t="s">
        <v>85</v>
      </c>
      <c r="M19" s="6"/>
    </row>
    <row r="20" spans="1:13" s="5" customFormat="1" ht="16.5" x14ac:dyDescent="0.3">
      <c r="A20" s="6" t="s">
        <v>99</v>
      </c>
      <c r="B20" s="6"/>
      <c r="C20" s="6" t="s">
        <v>5</v>
      </c>
      <c r="D20" s="6"/>
      <c r="E20" s="7">
        <v>0.37</v>
      </c>
      <c r="F20" s="6" t="s">
        <v>86</v>
      </c>
      <c r="G20" s="6"/>
      <c r="H20" s="6">
        <v>200</v>
      </c>
      <c r="I20" s="6" t="s">
        <v>12</v>
      </c>
      <c r="J20" s="6"/>
      <c r="K20" s="6">
        <v>1.84</v>
      </c>
      <c r="L20" s="6" t="s">
        <v>85</v>
      </c>
      <c r="M20" s="6"/>
    </row>
    <row r="21" spans="1:13" s="5" customFormat="1" ht="16.5" x14ac:dyDescent="0.3">
      <c r="A21" s="6"/>
      <c r="B21" s="6"/>
      <c r="C21" s="6"/>
      <c r="D21" s="6"/>
      <c r="E21" s="8">
        <f>SUM(E4:E20)</f>
        <v>158.40900000000005</v>
      </c>
      <c r="F21" s="9" t="s">
        <v>87</v>
      </c>
      <c r="G21" s="6"/>
      <c r="H21" s="6"/>
      <c r="I21" s="6"/>
      <c r="J21" s="6"/>
      <c r="K21" s="9">
        <f>SUM(K4:K20)</f>
        <v>747.99</v>
      </c>
      <c r="L21" s="9" t="s">
        <v>100</v>
      </c>
      <c r="M21" s="6"/>
    </row>
    <row r="22" spans="1:13" s="5" customFormat="1" ht="16.5" x14ac:dyDescent="0.3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16"/>
      <c r="B23" s="16"/>
      <c r="C23" s="16"/>
      <c r="D23" s="16"/>
      <c r="E23" s="17"/>
      <c r="F23" s="16"/>
      <c r="G23" s="16"/>
      <c r="H23" s="16"/>
      <c r="I23" s="16"/>
      <c r="J23" s="16"/>
      <c r="K23" s="16"/>
      <c r="L23" s="16"/>
      <c r="M23" s="16"/>
    </row>
    <row r="24" spans="1:13" x14ac:dyDescent="0.25">
      <c r="A24" s="16"/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16"/>
      <c r="B25" s="16"/>
      <c r="C25" s="16"/>
      <c r="D25" s="16"/>
      <c r="E25" s="17"/>
      <c r="F25" s="16"/>
      <c r="G25" s="16"/>
      <c r="H25" s="16"/>
      <c r="I25" s="16"/>
      <c r="J25" s="16"/>
      <c r="K25" s="16"/>
      <c r="L25" s="16"/>
      <c r="M25" s="16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22" workbookViewId="0">
      <selection activeCell="P52" sqref="P52"/>
    </sheetView>
  </sheetViews>
  <sheetFormatPr defaultRowHeight="15" x14ac:dyDescent="0.25"/>
  <cols>
    <col min="2" max="2" width="3.7109375" customWidth="1"/>
    <col min="4" max="4" width="3.7109375" customWidth="1"/>
    <col min="5" max="5" width="9.28515625" bestFit="1" customWidth="1"/>
    <col min="6" max="6" width="4.7109375" bestFit="1" customWidth="1"/>
    <col min="7" max="7" width="3.7109375" customWidth="1"/>
    <col min="8" max="8" width="6.5703125" style="4" bestFit="1" customWidth="1"/>
    <col min="9" max="9" width="4.7109375" bestFit="1" customWidth="1"/>
    <col min="10" max="10" width="3.7109375" customWidth="1"/>
    <col min="11" max="11" width="8.28515625" style="19" bestFit="1" customWidth="1"/>
    <col min="12" max="12" width="3.5703125" style="19" bestFit="1" customWidth="1"/>
    <col min="13" max="13" width="3.7109375" style="19" customWidth="1"/>
  </cols>
  <sheetData>
    <row r="1" spans="1:13" s="6" customFormat="1" ht="13.5" x14ac:dyDescent="0.25">
      <c r="A1" s="6" t="s">
        <v>110</v>
      </c>
      <c r="H1" s="15"/>
      <c r="K1" s="18"/>
      <c r="L1" s="18"/>
      <c r="M1" s="18"/>
    </row>
    <row r="2" spans="1:13" s="6" customFormat="1" ht="13.5" x14ac:dyDescent="0.25">
      <c r="H2" s="15"/>
      <c r="K2" s="18"/>
      <c r="L2" s="18"/>
      <c r="M2" s="18"/>
    </row>
    <row r="3" spans="1:13" s="6" customFormat="1" ht="13.5" x14ac:dyDescent="0.25">
      <c r="A3" s="6" t="s">
        <v>0</v>
      </c>
      <c r="C3" s="6" t="s">
        <v>6</v>
      </c>
      <c r="E3" s="6" t="s">
        <v>14</v>
      </c>
      <c r="H3" s="15" t="s">
        <v>22</v>
      </c>
      <c r="K3" s="18" t="s">
        <v>8</v>
      </c>
      <c r="L3" s="18"/>
      <c r="M3" s="18"/>
    </row>
    <row r="4" spans="1:13" s="6" customFormat="1" ht="15.75" x14ac:dyDescent="0.25">
      <c r="A4" s="6" t="s">
        <v>101</v>
      </c>
      <c r="C4" s="6" t="s">
        <v>5</v>
      </c>
      <c r="E4" s="6">
        <v>115</v>
      </c>
      <c r="F4" s="6" t="s">
        <v>12</v>
      </c>
      <c r="H4" s="15" t="s">
        <v>29</v>
      </c>
      <c r="I4" s="6" t="s">
        <v>12</v>
      </c>
      <c r="K4" s="18">
        <f>0.58*(115/150)</f>
        <v>0.44466666666666665</v>
      </c>
      <c r="L4" s="6" t="s">
        <v>86</v>
      </c>
      <c r="M4" s="18"/>
    </row>
    <row r="5" spans="1:13" s="6" customFormat="1" ht="15.75" x14ac:dyDescent="0.25">
      <c r="A5" s="6" t="s">
        <v>101</v>
      </c>
      <c r="C5" s="6" t="s">
        <v>5</v>
      </c>
      <c r="E5" s="6">
        <v>115</v>
      </c>
      <c r="F5" s="6" t="s">
        <v>12</v>
      </c>
      <c r="H5" s="15" t="s">
        <v>29</v>
      </c>
      <c r="I5" s="6" t="s">
        <v>12</v>
      </c>
      <c r="K5" s="18">
        <f>1.88*(115/150)</f>
        <v>1.4413333333333334</v>
      </c>
      <c r="L5" s="6" t="s">
        <v>86</v>
      </c>
      <c r="M5" s="18"/>
    </row>
    <row r="6" spans="1:13" s="6" customFormat="1" ht="15.75" x14ac:dyDescent="0.25">
      <c r="H6" s="15"/>
      <c r="K6" s="20">
        <f>SUM(K4:K5)</f>
        <v>1.8860000000000001</v>
      </c>
      <c r="L6" s="9" t="s">
        <v>87</v>
      </c>
      <c r="M6" s="18"/>
    </row>
    <row r="7" spans="1:13" s="6" customFormat="1" ht="13.5" x14ac:dyDescent="0.25">
      <c r="H7" s="15"/>
      <c r="K7" s="18"/>
      <c r="M7" s="18"/>
    </row>
    <row r="8" spans="1:13" s="6" customFormat="1" ht="15.75" x14ac:dyDescent="0.25">
      <c r="A8" s="6" t="s">
        <v>102</v>
      </c>
      <c r="C8" s="6" t="s">
        <v>4</v>
      </c>
      <c r="E8" s="6">
        <v>115</v>
      </c>
      <c r="F8" s="6" t="s">
        <v>12</v>
      </c>
      <c r="H8" s="15" t="s">
        <v>37</v>
      </c>
      <c r="I8" s="6" t="s">
        <v>12</v>
      </c>
      <c r="K8" s="18">
        <f>0.5*(115/135)</f>
        <v>0.42592592592592593</v>
      </c>
      <c r="L8" s="6" t="s">
        <v>86</v>
      </c>
      <c r="M8" s="18"/>
    </row>
    <row r="9" spans="1:13" s="6" customFormat="1" ht="15.75" x14ac:dyDescent="0.25">
      <c r="A9" s="6" t="s">
        <v>102</v>
      </c>
      <c r="C9" s="6" t="s">
        <v>4</v>
      </c>
      <c r="E9" s="6">
        <v>115</v>
      </c>
      <c r="F9" s="6" t="s">
        <v>12</v>
      </c>
      <c r="H9" s="15" t="s">
        <v>37</v>
      </c>
      <c r="I9" s="6" t="s">
        <v>12</v>
      </c>
      <c r="K9" s="18">
        <f>0.5*(115/135)</f>
        <v>0.42592592592592593</v>
      </c>
      <c r="L9" s="6" t="s">
        <v>86</v>
      </c>
      <c r="M9" s="18"/>
    </row>
    <row r="10" spans="1:13" s="6" customFormat="1" ht="15.75" x14ac:dyDescent="0.25">
      <c r="A10" s="6" t="s">
        <v>102</v>
      </c>
      <c r="C10" s="6" t="s">
        <v>4</v>
      </c>
      <c r="E10" s="6">
        <v>115</v>
      </c>
      <c r="F10" s="6" t="s">
        <v>12</v>
      </c>
      <c r="H10" s="15" t="s">
        <v>37</v>
      </c>
      <c r="I10" s="6" t="s">
        <v>12</v>
      </c>
      <c r="K10" s="18">
        <f xml:space="preserve"> 0.79*(115/135)</f>
        <v>0.67296296296296299</v>
      </c>
      <c r="L10" s="6" t="s">
        <v>86</v>
      </c>
      <c r="M10" s="18"/>
    </row>
    <row r="11" spans="1:13" s="6" customFormat="1" ht="15.75" x14ac:dyDescent="0.25">
      <c r="A11" s="6" t="s">
        <v>103</v>
      </c>
      <c r="C11" s="6" t="s">
        <v>5</v>
      </c>
      <c r="E11" s="6">
        <v>115</v>
      </c>
      <c r="F11" s="6" t="s">
        <v>12</v>
      </c>
      <c r="H11" s="15" t="s">
        <v>29</v>
      </c>
      <c r="I11" s="6" t="s">
        <v>12</v>
      </c>
      <c r="K11" s="18">
        <f>0.16*(115/135)</f>
        <v>0.1362962962962963</v>
      </c>
      <c r="L11" s="6" t="s">
        <v>86</v>
      </c>
      <c r="M11" s="18"/>
    </row>
    <row r="12" spans="1:13" s="6" customFormat="1" ht="15.75" x14ac:dyDescent="0.25">
      <c r="A12" s="6" t="s">
        <v>103</v>
      </c>
      <c r="C12" s="6" t="s">
        <v>5</v>
      </c>
      <c r="E12" s="6">
        <v>115</v>
      </c>
      <c r="F12" s="6" t="s">
        <v>12</v>
      </c>
      <c r="H12" s="15" t="s">
        <v>29</v>
      </c>
      <c r="I12" s="6" t="s">
        <v>12</v>
      </c>
      <c r="K12" s="18">
        <f>0.98*(115/135)</f>
        <v>0.83481481481481479</v>
      </c>
      <c r="L12" s="6" t="s">
        <v>86</v>
      </c>
      <c r="M12" s="18"/>
    </row>
    <row r="13" spans="1:13" s="6" customFormat="1" ht="15.75" x14ac:dyDescent="0.25">
      <c r="A13" s="6" t="s">
        <v>103</v>
      </c>
      <c r="C13" s="6" t="s">
        <v>5</v>
      </c>
      <c r="E13" s="6">
        <v>115</v>
      </c>
      <c r="F13" s="6" t="s">
        <v>12</v>
      </c>
      <c r="H13" s="15" t="s">
        <v>29</v>
      </c>
      <c r="I13" s="6" t="s">
        <v>12</v>
      </c>
      <c r="K13" s="18">
        <f>1.02*(115/135)</f>
        <v>0.86888888888888893</v>
      </c>
      <c r="L13" s="6" t="s">
        <v>86</v>
      </c>
      <c r="M13" s="18"/>
    </row>
    <row r="14" spans="1:13" s="6" customFormat="1" ht="15.75" x14ac:dyDescent="0.25">
      <c r="A14" s="6" t="s">
        <v>103</v>
      </c>
      <c r="C14" s="6" t="s">
        <v>5</v>
      </c>
      <c r="E14" s="6">
        <v>115</v>
      </c>
      <c r="F14" s="6" t="s">
        <v>12</v>
      </c>
      <c r="H14" s="15" t="s">
        <v>29</v>
      </c>
      <c r="I14" s="6" t="s">
        <v>12</v>
      </c>
      <c r="K14" s="18">
        <f>1.14*(115/135)</f>
        <v>0.97111111111111104</v>
      </c>
      <c r="L14" s="6" t="s">
        <v>86</v>
      </c>
      <c r="M14" s="18"/>
    </row>
    <row r="15" spans="1:13" s="6" customFormat="1" ht="15.75" x14ac:dyDescent="0.25">
      <c r="A15" s="6" t="s">
        <v>103</v>
      </c>
      <c r="C15" s="6" t="s">
        <v>5</v>
      </c>
      <c r="E15" s="6">
        <v>115</v>
      </c>
      <c r="F15" s="6" t="s">
        <v>12</v>
      </c>
      <c r="H15" s="15" t="s">
        <v>29</v>
      </c>
      <c r="I15" s="6" t="s">
        <v>12</v>
      </c>
      <c r="K15" s="18">
        <f>1.3*(115/135)</f>
        <v>1.1074074074074074</v>
      </c>
      <c r="L15" s="6" t="s">
        <v>86</v>
      </c>
      <c r="M15" s="18"/>
    </row>
    <row r="16" spans="1:13" s="6" customFormat="1" ht="15.75" x14ac:dyDescent="0.25">
      <c r="A16" s="6" t="s">
        <v>103</v>
      </c>
      <c r="C16" s="6" t="s">
        <v>5</v>
      </c>
      <c r="E16" s="6">
        <v>115</v>
      </c>
      <c r="F16" s="6" t="s">
        <v>12</v>
      </c>
      <c r="H16" s="15" t="s">
        <v>29</v>
      </c>
      <c r="I16" s="6" t="s">
        <v>12</v>
      </c>
      <c r="K16" s="18">
        <f>3.1*(115/135)</f>
        <v>2.6407407407407408</v>
      </c>
      <c r="L16" s="6" t="s">
        <v>86</v>
      </c>
      <c r="M16" s="18"/>
    </row>
    <row r="17" spans="1:14" s="6" customFormat="1" ht="15.75" x14ac:dyDescent="0.25">
      <c r="A17" s="6" t="s">
        <v>103</v>
      </c>
      <c r="C17" s="6" t="s">
        <v>5</v>
      </c>
      <c r="E17" s="6">
        <v>115</v>
      </c>
      <c r="F17" s="6" t="s">
        <v>12</v>
      </c>
      <c r="H17" s="15" t="s">
        <v>29</v>
      </c>
      <c r="I17" s="6" t="s">
        <v>12</v>
      </c>
      <c r="K17" s="18">
        <f>3.12*(115/135)</f>
        <v>2.657777777777778</v>
      </c>
      <c r="L17" s="6" t="s">
        <v>86</v>
      </c>
      <c r="M17" s="18"/>
    </row>
    <row r="18" spans="1:14" s="6" customFormat="1" ht="15.75" x14ac:dyDescent="0.25">
      <c r="A18" s="6" t="s">
        <v>103</v>
      </c>
      <c r="C18" s="6" t="s">
        <v>5</v>
      </c>
      <c r="E18" s="6">
        <v>115</v>
      </c>
      <c r="F18" s="6" t="s">
        <v>12</v>
      </c>
      <c r="H18" s="15" t="s">
        <v>29</v>
      </c>
      <c r="I18" s="6" t="s">
        <v>12</v>
      </c>
      <c r="K18" s="18">
        <f>1.93*(115/135)</f>
        <v>1.644074074074074</v>
      </c>
      <c r="L18" s="6" t="s">
        <v>86</v>
      </c>
      <c r="M18" s="18"/>
    </row>
    <row r="19" spans="1:14" s="6" customFormat="1" ht="15.75" x14ac:dyDescent="0.25">
      <c r="A19" s="6" t="s">
        <v>104</v>
      </c>
      <c r="C19" s="6" t="s">
        <v>48</v>
      </c>
      <c r="E19" s="6">
        <v>115</v>
      </c>
      <c r="F19" s="6" t="s">
        <v>12</v>
      </c>
      <c r="H19" s="15"/>
      <c r="K19" s="18">
        <f>1.02*(115/135)</f>
        <v>0.86888888888888893</v>
      </c>
      <c r="L19" s="6" t="s">
        <v>86</v>
      </c>
      <c r="M19" s="18"/>
    </row>
    <row r="20" spans="1:14" s="6" customFormat="1" ht="15.75" x14ac:dyDescent="0.25">
      <c r="A20" s="6" t="s">
        <v>104</v>
      </c>
      <c r="C20" s="6" t="s">
        <v>48</v>
      </c>
      <c r="E20" s="6">
        <v>115</v>
      </c>
      <c r="F20" s="6" t="s">
        <v>12</v>
      </c>
      <c r="H20" s="15"/>
      <c r="K20" s="18">
        <f>1.02*(115/135)</f>
        <v>0.86888888888888893</v>
      </c>
      <c r="L20" s="6" t="s">
        <v>86</v>
      </c>
      <c r="M20" s="18"/>
    </row>
    <row r="21" spans="1:14" s="6" customFormat="1" ht="15.75" x14ac:dyDescent="0.25">
      <c r="A21" s="6" t="s">
        <v>104</v>
      </c>
      <c r="C21" s="6" t="s">
        <v>48</v>
      </c>
      <c r="E21" s="6">
        <v>115</v>
      </c>
      <c r="F21" s="6" t="s">
        <v>12</v>
      </c>
      <c r="H21" s="15"/>
      <c r="K21" s="18">
        <f>1.59*(115/135)</f>
        <v>1.3544444444444446</v>
      </c>
      <c r="L21" s="6" t="s">
        <v>86</v>
      </c>
      <c r="M21" s="18"/>
    </row>
    <row r="22" spans="1:14" s="6" customFormat="1" ht="15.75" x14ac:dyDescent="0.25">
      <c r="A22" s="6" t="s">
        <v>104</v>
      </c>
      <c r="C22" s="6" t="s">
        <v>48</v>
      </c>
      <c r="E22" s="6">
        <v>115</v>
      </c>
      <c r="F22" s="6" t="s">
        <v>12</v>
      </c>
      <c r="H22" s="15"/>
      <c r="K22" s="18">
        <f>1.57*(115/135)</f>
        <v>1.3374074074074074</v>
      </c>
      <c r="L22" s="6" t="s">
        <v>86</v>
      </c>
      <c r="M22" s="18"/>
    </row>
    <row r="23" spans="1:14" s="6" customFormat="1" ht="15.75" x14ac:dyDescent="0.25">
      <c r="A23" s="6" t="s">
        <v>104</v>
      </c>
      <c r="C23" s="6" t="s">
        <v>48</v>
      </c>
      <c r="E23" s="6">
        <v>115</v>
      </c>
      <c r="F23" s="6" t="s">
        <v>12</v>
      </c>
      <c r="H23" s="15"/>
      <c r="K23" s="18">
        <f>2.61*(115/135)</f>
        <v>2.2233333333333332</v>
      </c>
      <c r="L23" s="6" t="s">
        <v>86</v>
      </c>
      <c r="M23" s="18"/>
    </row>
    <row r="24" spans="1:14" s="6" customFormat="1" ht="15.75" x14ac:dyDescent="0.25">
      <c r="H24" s="15"/>
      <c r="K24" s="20">
        <f>SUM(K8:K23)</f>
        <v>19.038888888888891</v>
      </c>
      <c r="L24" s="9" t="s">
        <v>87</v>
      </c>
      <c r="M24" s="18"/>
    </row>
    <row r="25" spans="1:14" s="6" customFormat="1" ht="13.5" x14ac:dyDescent="0.25">
      <c r="H25" s="15"/>
      <c r="K25" s="18"/>
      <c r="M25" s="18"/>
    </row>
    <row r="26" spans="1:14" s="6" customFormat="1" ht="15.75" x14ac:dyDescent="0.25">
      <c r="A26" s="6" t="s">
        <v>106</v>
      </c>
      <c r="C26" s="6" t="s">
        <v>4</v>
      </c>
      <c r="E26" s="6">
        <v>80</v>
      </c>
      <c r="F26" s="6" t="s">
        <v>12</v>
      </c>
      <c r="H26" s="15" t="s">
        <v>29</v>
      </c>
      <c r="I26" s="6" t="s">
        <v>12</v>
      </c>
      <c r="K26" s="18">
        <f>0.37*(80/100)</f>
        <v>0.29599999999999999</v>
      </c>
      <c r="L26" s="6" t="s">
        <v>86</v>
      </c>
      <c r="M26" s="18"/>
    </row>
    <row r="27" spans="1:14" s="6" customFormat="1" ht="15.75" x14ac:dyDescent="0.25">
      <c r="A27" s="6" t="s">
        <v>106</v>
      </c>
      <c r="C27" s="6" t="s">
        <v>4</v>
      </c>
      <c r="E27" s="6">
        <v>80</v>
      </c>
      <c r="F27" s="6" t="s">
        <v>12</v>
      </c>
      <c r="H27" s="15" t="s">
        <v>29</v>
      </c>
      <c r="I27" s="6" t="s">
        <v>12</v>
      </c>
      <c r="K27" s="18">
        <f>0.41*(80/100)</f>
        <v>0.32800000000000001</v>
      </c>
      <c r="L27" s="6" t="s">
        <v>86</v>
      </c>
      <c r="M27" s="18"/>
    </row>
    <row r="28" spans="1:14" s="6" customFormat="1" ht="15.75" x14ac:dyDescent="0.25">
      <c r="A28" s="6" t="s">
        <v>106</v>
      </c>
      <c r="C28" s="6" t="s">
        <v>4</v>
      </c>
      <c r="E28" s="6">
        <v>80</v>
      </c>
      <c r="F28" s="6" t="s">
        <v>12</v>
      </c>
      <c r="H28" s="15" t="s">
        <v>37</v>
      </c>
      <c r="I28" s="6" t="s">
        <v>12</v>
      </c>
      <c r="K28" s="18">
        <f>0.13*(80/100)</f>
        <v>0.10400000000000001</v>
      </c>
      <c r="L28" s="6" t="s">
        <v>86</v>
      </c>
      <c r="M28" s="18"/>
    </row>
    <row r="29" spans="1:14" s="6" customFormat="1" ht="15.75" x14ac:dyDescent="0.25">
      <c r="A29" s="6" t="s">
        <v>106</v>
      </c>
      <c r="C29" s="6" t="s">
        <v>4</v>
      </c>
      <c r="E29" s="6">
        <v>80</v>
      </c>
      <c r="F29" s="6" t="s">
        <v>12</v>
      </c>
      <c r="H29" s="15" t="s">
        <v>37</v>
      </c>
      <c r="I29" s="6" t="s">
        <v>12</v>
      </c>
      <c r="K29" s="18">
        <f>0.95*(80/100)</f>
        <v>0.76</v>
      </c>
      <c r="L29" s="6" t="s">
        <v>86</v>
      </c>
      <c r="M29" s="18"/>
    </row>
    <row r="30" spans="1:14" s="6" customFormat="1" ht="15.75" x14ac:dyDescent="0.25">
      <c r="A30" s="6" t="s">
        <v>107</v>
      </c>
      <c r="C30" s="6" t="s">
        <v>2</v>
      </c>
      <c r="E30" s="6">
        <v>80</v>
      </c>
      <c r="F30" s="6" t="s">
        <v>12</v>
      </c>
      <c r="H30" s="15" t="s">
        <v>17</v>
      </c>
      <c r="I30" s="6" t="s">
        <v>12</v>
      </c>
      <c r="K30" s="18">
        <f>0.39*(80/100)</f>
        <v>0.31200000000000006</v>
      </c>
      <c r="L30" s="6" t="s">
        <v>86</v>
      </c>
      <c r="M30" s="200"/>
      <c r="N30" s="12"/>
    </row>
    <row r="31" spans="1:14" s="6" customFormat="1" ht="15.75" x14ac:dyDescent="0.25">
      <c r="A31" s="6" t="s">
        <v>107</v>
      </c>
      <c r="C31" s="6" t="s">
        <v>2</v>
      </c>
      <c r="E31" s="6">
        <v>80</v>
      </c>
      <c r="F31" s="6" t="s">
        <v>12</v>
      </c>
      <c r="H31" s="15" t="s">
        <v>17</v>
      </c>
      <c r="I31" s="6" t="s">
        <v>12</v>
      </c>
      <c r="K31" s="18">
        <f>0.13*(80/100)</f>
        <v>0.10400000000000001</v>
      </c>
      <c r="L31" s="6" t="s">
        <v>86</v>
      </c>
      <c r="M31" s="200"/>
      <c r="N31" s="12"/>
    </row>
    <row r="32" spans="1:14" s="6" customFormat="1" ht="15.75" x14ac:dyDescent="0.25">
      <c r="A32" s="6" t="s">
        <v>107</v>
      </c>
      <c r="C32" s="6" t="s">
        <v>2</v>
      </c>
      <c r="E32" s="6">
        <v>80</v>
      </c>
      <c r="F32" s="6" t="s">
        <v>12</v>
      </c>
      <c r="H32" s="15" t="s">
        <v>17</v>
      </c>
      <c r="I32" s="6" t="s">
        <v>12</v>
      </c>
      <c r="K32" s="18">
        <f>0.34*(80/100)</f>
        <v>0.27200000000000002</v>
      </c>
      <c r="L32" s="6" t="s">
        <v>86</v>
      </c>
      <c r="M32" s="200"/>
      <c r="N32" s="12"/>
    </row>
    <row r="33" spans="1:14" s="6" customFormat="1" ht="15.75" x14ac:dyDescent="0.25">
      <c r="A33" s="6" t="s">
        <v>107</v>
      </c>
      <c r="C33" s="6" t="s">
        <v>2</v>
      </c>
      <c r="E33" s="6">
        <v>80</v>
      </c>
      <c r="F33" s="6" t="s">
        <v>12</v>
      </c>
      <c r="H33" s="15" t="s">
        <v>17</v>
      </c>
      <c r="I33" s="6" t="s">
        <v>12</v>
      </c>
      <c r="K33" s="18">
        <f>0.61*(80/100)</f>
        <v>0.48799999999999999</v>
      </c>
      <c r="L33" s="6" t="s">
        <v>86</v>
      </c>
      <c r="M33" s="200"/>
      <c r="N33" s="12"/>
    </row>
    <row r="34" spans="1:14" s="6" customFormat="1" ht="15.75" x14ac:dyDescent="0.25">
      <c r="A34" s="6" t="s">
        <v>107</v>
      </c>
      <c r="C34" s="6" t="s">
        <v>2</v>
      </c>
      <c r="E34" s="6">
        <v>80</v>
      </c>
      <c r="F34" s="6" t="s">
        <v>12</v>
      </c>
      <c r="H34" s="15" t="s">
        <v>17</v>
      </c>
      <c r="I34" s="6" t="s">
        <v>12</v>
      </c>
      <c r="K34" s="18">
        <f>0.65*(80/100)</f>
        <v>0.52</v>
      </c>
      <c r="L34" s="6" t="s">
        <v>86</v>
      </c>
      <c r="M34" s="200"/>
      <c r="N34" s="12"/>
    </row>
    <row r="35" spans="1:14" s="6" customFormat="1" ht="15.75" x14ac:dyDescent="0.25">
      <c r="A35" s="6" t="s">
        <v>107</v>
      </c>
      <c r="C35" s="6" t="s">
        <v>2</v>
      </c>
      <c r="E35" s="6">
        <v>80</v>
      </c>
      <c r="F35" s="6" t="s">
        <v>12</v>
      </c>
      <c r="H35" s="15" t="s">
        <v>17</v>
      </c>
      <c r="I35" s="6" t="s">
        <v>12</v>
      </c>
      <c r="K35" s="18">
        <f>0.77*(80/100)</f>
        <v>0.6160000000000001</v>
      </c>
      <c r="L35" s="6" t="s">
        <v>86</v>
      </c>
      <c r="M35" s="200"/>
      <c r="N35" s="12"/>
    </row>
    <row r="36" spans="1:14" s="6" customFormat="1" ht="15.75" x14ac:dyDescent="0.25">
      <c r="A36" s="6" t="s">
        <v>107</v>
      </c>
      <c r="C36" s="6" t="s">
        <v>2</v>
      </c>
      <c r="E36" s="6">
        <v>80</v>
      </c>
      <c r="F36" s="6" t="s">
        <v>12</v>
      </c>
      <c r="H36" s="15" t="s">
        <v>17</v>
      </c>
      <c r="I36" s="6" t="s">
        <v>12</v>
      </c>
      <c r="K36" s="18">
        <f>0.77*(80/100)</f>
        <v>0.6160000000000001</v>
      </c>
      <c r="L36" s="6" t="s">
        <v>86</v>
      </c>
      <c r="M36" s="200"/>
      <c r="N36" s="12"/>
    </row>
    <row r="37" spans="1:14" s="6" customFormat="1" ht="15.75" x14ac:dyDescent="0.25">
      <c r="A37" s="6" t="s">
        <v>107</v>
      </c>
      <c r="C37" s="6" t="s">
        <v>2</v>
      </c>
      <c r="E37" s="6">
        <v>80</v>
      </c>
      <c r="F37" s="6" t="s">
        <v>12</v>
      </c>
      <c r="H37" s="15" t="s">
        <v>17</v>
      </c>
      <c r="I37" s="6" t="s">
        <v>12</v>
      </c>
      <c r="K37" s="18">
        <f>2*(80/100)</f>
        <v>1.6</v>
      </c>
      <c r="L37" s="6" t="s">
        <v>86</v>
      </c>
      <c r="M37" s="200"/>
      <c r="N37" s="12"/>
    </row>
    <row r="38" spans="1:14" s="6" customFormat="1" ht="15.75" x14ac:dyDescent="0.25">
      <c r="A38" s="6" t="s">
        <v>107</v>
      </c>
      <c r="C38" s="6" t="s">
        <v>2</v>
      </c>
      <c r="E38" s="6">
        <v>80</v>
      </c>
      <c r="F38" s="6" t="s">
        <v>12</v>
      </c>
      <c r="H38" s="15" t="s">
        <v>17</v>
      </c>
      <c r="I38" s="6" t="s">
        <v>12</v>
      </c>
      <c r="K38" s="18">
        <f>1.04*(80/100)</f>
        <v>0.83200000000000007</v>
      </c>
      <c r="L38" s="6" t="s">
        <v>86</v>
      </c>
      <c r="M38" s="200"/>
      <c r="N38" s="12"/>
    </row>
    <row r="39" spans="1:14" s="6" customFormat="1" ht="15.75" x14ac:dyDescent="0.25">
      <c r="A39" s="6" t="s">
        <v>108</v>
      </c>
      <c r="C39" s="6" t="s">
        <v>5</v>
      </c>
      <c r="E39" s="6">
        <v>80</v>
      </c>
      <c r="F39" s="6" t="s">
        <v>12</v>
      </c>
      <c r="H39" s="15" t="s">
        <v>105</v>
      </c>
      <c r="I39" s="6" t="s">
        <v>12</v>
      </c>
      <c r="K39" s="18">
        <f>0.2*(80/100)</f>
        <v>0.16000000000000003</v>
      </c>
      <c r="L39" s="6" t="s">
        <v>86</v>
      </c>
      <c r="M39" s="18"/>
    </row>
    <row r="40" spans="1:14" s="6" customFormat="1" ht="15.75" x14ac:dyDescent="0.25">
      <c r="A40" s="6" t="s">
        <v>108</v>
      </c>
      <c r="C40" s="6" t="s">
        <v>5</v>
      </c>
      <c r="E40" s="6">
        <v>80</v>
      </c>
      <c r="F40" s="6" t="s">
        <v>12</v>
      </c>
      <c r="H40" s="15" t="s">
        <v>29</v>
      </c>
      <c r="I40" s="6" t="s">
        <v>12</v>
      </c>
      <c r="K40" s="18">
        <f>0.64*(80/100)</f>
        <v>0.51200000000000001</v>
      </c>
      <c r="L40" s="6" t="s">
        <v>86</v>
      </c>
      <c r="M40" s="18"/>
    </row>
    <row r="41" spans="1:14" s="6" customFormat="1" ht="15.75" x14ac:dyDescent="0.25">
      <c r="A41" s="6" t="s">
        <v>108</v>
      </c>
      <c r="C41" s="6" t="s">
        <v>5</v>
      </c>
      <c r="E41" s="6">
        <v>80</v>
      </c>
      <c r="F41" s="6" t="s">
        <v>12</v>
      </c>
      <c r="H41" s="15" t="s">
        <v>29</v>
      </c>
      <c r="I41" s="6" t="s">
        <v>12</v>
      </c>
      <c r="K41" s="18">
        <f>0.2*(80/100)</f>
        <v>0.16000000000000003</v>
      </c>
      <c r="L41" s="6" t="s">
        <v>86</v>
      </c>
      <c r="M41" s="18"/>
    </row>
    <row r="42" spans="1:14" s="6" customFormat="1" ht="15.75" x14ac:dyDescent="0.25">
      <c r="A42" s="6" t="s">
        <v>108</v>
      </c>
      <c r="C42" s="6" t="s">
        <v>5</v>
      </c>
      <c r="E42" s="6">
        <v>80</v>
      </c>
      <c r="F42" s="6" t="s">
        <v>12</v>
      </c>
      <c r="H42" s="15" t="s">
        <v>29</v>
      </c>
      <c r="I42" s="6" t="s">
        <v>12</v>
      </c>
      <c r="K42" s="18">
        <f>0.96*(80/100)</f>
        <v>0.76800000000000002</v>
      </c>
      <c r="L42" s="6" t="s">
        <v>86</v>
      </c>
      <c r="M42" s="18"/>
    </row>
    <row r="43" spans="1:14" s="6" customFormat="1" ht="15.75" x14ac:dyDescent="0.25">
      <c r="A43" s="6" t="s">
        <v>109</v>
      </c>
      <c r="C43" s="6" t="s">
        <v>48</v>
      </c>
      <c r="E43" s="6">
        <v>80</v>
      </c>
      <c r="F43" s="6" t="s">
        <v>12</v>
      </c>
      <c r="H43" s="15"/>
      <c r="K43" s="18">
        <f>1.14*(80/100)</f>
        <v>0.91199999999999992</v>
      </c>
      <c r="L43" s="6" t="s">
        <v>86</v>
      </c>
      <c r="M43" s="18"/>
    </row>
    <row r="44" spans="1:14" s="6" customFormat="1" ht="15.75" x14ac:dyDescent="0.25">
      <c r="A44" s="6" t="s">
        <v>109</v>
      </c>
      <c r="C44" s="6" t="s">
        <v>48</v>
      </c>
      <c r="E44" s="6">
        <v>80</v>
      </c>
      <c r="F44" s="6" t="s">
        <v>12</v>
      </c>
      <c r="H44" s="15"/>
      <c r="K44" s="18">
        <f>1.2*(80/100)</f>
        <v>0.96</v>
      </c>
      <c r="L44" s="6" t="s">
        <v>86</v>
      </c>
      <c r="M44" s="18"/>
    </row>
    <row r="45" spans="1:14" s="6" customFormat="1" ht="15.75" x14ac:dyDescent="0.25">
      <c r="A45" s="6" t="s">
        <v>109</v>
      </c>
      <c r="C45" s="6" t="s">
        <v>48</v>
      </c>
      <c r="E45" s="6">
        <v>80</v>
      </c>
      <c r="F45" s="6" t="s">
        <v>12</v>
      </c>
      <c r="H45" s="15"/>
      <c r="K45" s="18">
        <f>0.72*(80/100)</f>
        <v>0.57599999999999996</v>
      </c>
      <c r="L45" s="6" t="s">
        <v>86</v>
      </c>
      <c r="M45" s="18"/>
    </row>
    <row r="46" spans="1:14" s="6" customFormat="1" ht="15.75" x14ac:dyDescent="0.25">
      <c r="A46" s="6" t="s">
        <v>47</v>
      </c>
      <c r="C46" s="6" t="s">
        <v>47</v>
      </c>
      <c r="E46" s="6" t="s">
        <v>47</v>
      </c>
      <c r="H46" s="15" t="s">
        <v>47</v>
      </c>
      <c r="K46" s="20">
        <f>SUM(K26:K45)</f>
        <v>10.896000000000001</v>
      </c>
      <c r="L46" s="9" t="s">
        <v>87</v>
      </c>
      <c r="M46" s="18"/>
    </row>
    <row r="47" spans="1:14" s="6" customFormat="1" ht="13.5" x14ac:dyDescent="0.25">
      <c r="H47" s="15"/>
      <c r="K47" s="18"/>
      <c r="L47" s="18"/>
      <c r="M47" s="18"/>
    </row>
    <row r="48" spans="1:14" s="6" customFormat="1" ht="13.5" x14ac:dyDescent="0.25">
      <c r="H48" s="15"/>
      <c r="K48" s="18"/>
      <c r="L48" s="18"/>
      <c r="M48" s="18"/>
    </row>
    <row r="49" spans="1:15" ht="16.5" x14ac:dyDescent="0.3">
      <c r="A49" s="6" t="s">
        <v>379</v>
      </c>
      <c r="B49" s="6"/>
      <c r="C49" s="6" t="s">
        <v>2</v>
      </c>
      <c r="D49" s="6"/>
      <c r="E49" s="6">
        <v>80</v>
      </c>
      <c r="F49" s="6" t="s">
        <v>12</v>
      </c>
      <c r="G49" s="6"/>
      <c r="H49" s="15" t="s">
        <v>17</v>
      </c>
      <c r="I49" s="6" t="s">
        <v>12</v>
      </c>
      <c r="J49" s="6"/>
      <c r="K49" s="20">
        <f>1.35*2.855*0.08</f>
        <v>0.30834000000000006</v>
      </c>
      <c r="L49" s="9" t="s">
        <v>87</v>
      </c>
      <c r="M49" s="20"/>
      <c r="N49" s="6"/>
      <c r="O49" s="5"/>
    </row>
    <row r="50" spans="1:15" ht="16.5" x14ac:dyDescent="0.3">
      <c r="A50" s="6"/>
      <c r="B50" s="6"/>
      <c r="C50" s="6"/>
      <c r="D50" s="6"/>
      <c r="E50" s="6"/>
      <c r="F50" s="6"/>
      <c r="G50" s="6"/>
      <c r="H50" s="15"/>
      <c r="I50" s="6"/>
      <c r="J50" s="6"/>
      <c r="K50" s="18"/>
      <c r="L50" s="18"/>
      <c r="M50" s="18"/>
      <c r="N50" s="6"/>
      <c r="O50" s="5"/>
    </row>
    <row r="51" spans="1:15" ht="16.5" x14ac:dyDescent="0.3">
      <c r="A51" s="6"/>
      <c r="B51" s="6"/>
      <c r="C51" s="6"/>
      <c r="D51" s="6"/>
      <c r="E51" s="6"/>
      <c r="F51" s="6"/>
      <c r="G51" s="6"/>
      <c r="H51" s="15"/>
      <c r="I51" s="6"/>
      <c r="J51" s="6"/>
      <c r="K51" s="18"/>
      <c r="L51" s="18"/>
      <c r="M51" s="18"/>
      <c r="N51" s="6"/>
      <c r="O51" s="5"/>
    </row>
    <row r="52" spans="1:15" ht="16.5" x14ac:dyDescent="0.3">
      <c r="A52" s="6" t="s">
        <v>380</v>
      </c>
      <c r="B52" s="6"/>
      <c r="C52" s="6" t="s">
        <v>48</v>
      </c>
      <c r="D52" s="6"/>
      <c r="E52" s="6">
        <v>115</v>
      </c>
      <c r="F52" s="6" t="s">
        <v>12</v>
      </c>
      <c r="G52" s="6"/>
      <c r="H52" s="15"/>
      <c r="I52" s="6"/>
      <c r="J52" s="6"/>
      <c r="K52" s="20">
        <f>5.64*(115/257.5)</f>
        <v>2.5188349514563106</v>
      </c>
      <c r="L52" s="9" t="s">
        <v>87</v>
      </c>
      <c r="M52" s="18"/>
      <c r="N52" s="6"/>
      <c r="O52" s="5"/>
    </row>
    <row r="53" spans="1:15" ht="16.5" x14ac:dyDescent="0.3">
      <c r="A53" s="6"/>
      <c r="B53" s="6"/>
      <c r="C53" s="6"/>
      <c r="D53" s="6"/>
      <c r="E53" s="6"/>
      <c r="F53" s="6"/>
      <c r="G53" s="6"/>
      <c r="H53" s="15"/>
      <c r="I53" s="6"/>
      <c r="J53" s="6"/>
      <c r="K53" s="18"/>
      <c r="L53" s="18"/>
      <c r="M53" s="18"/>
      <c r="N53" s="6"/>
      <c r="O53" s="5"/>
    </row>
    <row r="54" spans="1:15" ht="16.5" x14ac:dyDescent="0.3">
      <c r="A54" s="6"/>
      <c r="B54" s="6"/>
      <c r="C54" s="6"/>
      <c r="D54" s="6"/>
      <c r="E54" s="6"/>
      <c r="F54" s="6"/>
      <c r="G54" s="6"/>
      <c r="H54" s="15"/>
      <c r="I54" s="6"/>
      <c r="J54" s="6"/>
      <c r="K54" s="18"/>
      <c r="L54" s="18"/>
      <c r="M54" s="18"/>
      <c r="N54" s="6"/>
      <c r="O54" s="5"/>
    </row>
    <row r="55" spans="1:15" ht="16.5" x14ac:dyDescent="0.3">
      <c r="A55" s="5"/>
      <c r="B55" s="5"/>
      <c r="C55" s="5"/>
      <c r="D55" s="5"/>
      <c r="E55" s="5"/>
      <c r="F55" s="5"/>
      <c r="G55" s="5"/>
      <c r="H55" s="201"/>
      <c r="I55" s="5"/>
      <c r="J55" s="5"/>
      <c r="K55" s="202"/>
      <c r="L55" s="202"/>
      <c r="M55" s="202"/>
      <c r="N55" s="5"/>
      <c r="O55" s="5"/>
    </row>
    <row r="56" spans="1:15" ht="16.5" x14ac:dyDescent="0.3">
      <c r="A56" s="5"/>
      <c r="B56" s="5"/>
      <c r="C56" s="5"/>
      <c r="D56" s="5"/>
      <c r="E56" s="5"/>
      <c r="F56" s="5"/>
      <c r="G56" s="5"/>
      <c r="H56" s="201"/>
      <c r="I56" s="5"/>
      <c r="J56" s="5"/>
      <c r="K56" s="202"/>
      <c r="L56" s="202"/>
      <c r="M56" s="202"/>
      <c r="N56" s="5"/>
      <c r="O56" s="5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workbookViewId="0">
      <pane ySplit="3" topLeftCell="A4" activePane="bottomLeft" state="frozen"/>
      <selection pane="bottomLeft" activeCell="H23" sqref="H23"/>
    </sheetView>
  </sheetViews>
  <sheetFormatPr defaultRowHeight="15" x14ac:dyDescent="0.25"/>
  <cols>
    <col min="1" max="1" width="16.5703125" bestFit="1" customWidth="1"/>
    <col min="2" max="2" width="3.7109375" customWidth="1"/>
    <col min="3" max="3" width="10.7109375" bestFit="1" customWidth="1"/>
    <col min="4" max="4" width="3.7109375" customWidth="1"/>
    <col min="6" max="6" width="4.7109375" bestFit="1" customWidth="1"/>
    <col min="7" max="7" width="3.7109375" customWidth="1"/>
    <col min="8" max="8" width="8.7109375" style="2" bestFit="1" customWidth="1"/>
    <col min="9" max="9" width="3.5703125" bestFit="1" customWidth="1"/>
    <col min="10" max="10" width="3.7109375" customWidth="1"/>
    <col min="11" max="11" width="7" style="2" bestFit="1" customWidth="1"/>
    <col min="12" max="12" width="3.5703125" bestFit="1" customWidth="1"/>
    <col min="13" max="13" width="3.7109375" customWidth="1"/>
    <col min="14" max="14" width="14.42578125" style="2" bestFit="1" customWidth="1"/>
    <col min="15" max="15" width="3.5703125" bestFit="1" customWidth="1"/>
    <col min="16" max="16" width="3.7109375" customWidth="1"/>
    <col min="17" max="17" width="10.42578125" bestFit="1" customWidth="1"/>
    <col min="18" max="18" width="3.5703125" bestFit="1" customWidth="1"/>
    <col min="19" max="19" width="3.7109375" customWidth="1"/>
    <col min="20" max="20" width="10.42578125" bestFit="1" customWidth="1"/>
    <col min="21" max="21" width="3.5703125" bestFit="1" customWidth="1"/>
    <col min="22" max="22" width="3.7109375" customWidth="1"/>
    <col min="23" max="23" width="9.42578125" style="2" bestFit="1" customWidth="1"/>
    <col min="24" max="24" width="3.5703125" bestFit="1" customWidth="1"/>
    <col min="25" max="25" width="3.7109375" customWidth="1"/>
    <col min="26" max="26" width="20.85546875" style="2" bestFit="1" customWidth="1"/>
    <col min="27" max="27" width="3.5703125" bestFit="1" customWidth="1"/>
  </cols>
  <sheetData>
    <row r="1" spans="1:27" s="6" customFormat="1" ht="13.5" x14ac:dyDescent="0.25">
      <c r="A1" s="6" t="s">
        <v>169</v>
      </c>
      <c r="H1" s="7"/>
      <c r="K1" s="7"/>
      <c r="N1" s="7"/>
      <c r="O1" s="18"/>
      <c r="Q1" s="18"/>
      <c r="W1" s="7"/>
      <c r="Z1" s="7"/>
    </row>
    <row r="2" spans="1:27" s="6" customFormat="1" ht="13.5" x14ac:dyDescent="0.25">
      <c r="H2" s="7"/>
      <c r="K2" s="7"/>
      <c r="N2" s="7"/>
      <c r="O2" s="18"/>
      <c r="Q2" s="18"/>
      <c r="W2" s="7"/>
      <c r="Z2" s="7"/>
    </row>
    <row r="3" spans="1:27" s="6" customFormat="1" ht="27" x14ac:dyDescent="0.25">
      <c r="A3" s="6" t="s">
        <v>0</v>
      </c>
      <c r="C3" s="6" t="s">
        <v>6</v>
      </c>
      <c r="E3" s="6" t="s">
        <v>11</v>
      </c>
      <c r="H3" s="7" t="s">
        <v>7</v>
      </c>
      <c r="K3" s="7" t="s">
        <v>8</v>
      </c>
      <c r="N3" s="21" t="s">
        <v>170</v>
      </c>
      <c r="O3" s="18"/>
      <c r="Q3" s="21" t="s">
        <v>171</v>
      </c>
      <c r="T3" s="21" t="s">
        <v>172</v>
      </c>
      <c r="W3" s="21" t="s">
        <v>173</v>
      </c>
      <c r="Z3" s="21" t="s">
        <v>174</v>
      </c>
    </row>
    <row r="4" spans="1:27" s="6" customFormat="1" ht="15.75" x14ac:dyDescent="0.25">
      <c r="A4" s="6" t="s">
        <v>111</v>
      </c>
      <c r="C4" s="6" t="s">
        <v>2</v>
      </c>
      <c r="E4" s="6">
        <v>255</v>
      </c>
      <c r="F4" s="6" t="s">
        <v>12</v>
      </c>
      <c r="H4" s="7">
        <v>9.26</v>
      </c>
      <c r="I4" s="6" t="s">
        <v>85</v>
      </c>
      <c r="K4" s="7">
        <v>2.36</v>
      </c>
      <c r="L4" s="6" t="s">
        <v>86</v>
      </c>
      <c r="N4" s="7">
        <f>H4*0.06</f>
        <v>0.55559999999999998</v>
      </c>
      <c r="O4" s="6" t="s">
        <v>86</v>
      </c>
      <c r="Q4" s="18">
        <f>H4*0.18</f>
        <v>1.6667999999999998</v>
      </c>
      <c r="R4" s="6" t="s">
        <v>86</v>
      </c>
      <c r="W4" s="7"/>
      <c r="Z4" s="7"/>
    </row>
    <row r="5" spans="1:27" s="6" customFormat="1" ht="15.75" x14ac:dyDescent="0.25">
      <c r="A5" s="6" t="s">
        <v>112</v>
      </c>
      <c r="C5" s="6" t="s">
        <v>2</v>
      </c>
      <c r="E5" s="6">
        <v>255</v>
      </c>
      <c r="F5" s="6" t="s">
        <v>12</v>
      </c>
      <c r="H5" s="7">
        <v>15.41</v>
      </c>
      <c r="I5" s="6" t="s">
        <v>85</v>
      </c>
      <c r="K5" s="7">
        <v>3.93</v>
      </c>
      <c r="L5" s="6" t="s">
        <v>86</v>
      </c>
      <c r="N5" s="7">
        <f t="shared" ref="N5:N64" si="0">H5*0.06</f>
        <v>0.92459999999999998</v>
      </c>
      <c r="O5" s="6" t="s">
        <v>86</v>
      </c>
      <c r="Q5" s="18">
        <f t="shared" ref="Q5:Q27" si="1">H5*0.18</f>
        <v>2.7738</v>
      </c>
      <c r="R5" s="6" t="s">
        <v>86</v>
      </c>
      <c r="W5" s="7"/>
      <c r="Z5" s="7"/>
    </row>
    <row r="6" spans="1:27" s="6" customFormat="1" ht="15.75" x14ac:dyDescent="0.25">
      <c r="A6" s="6" t="s">
        <v>113</v>
      </c>
      <c r="C6" s="6" t="s">
        <v>2</v>
      </c>
      <c r="E6" s="6">
        <v>255</v>
      </c>
      <c r="F6" s="6" t="s">
        <v>12</v>
      </c>
      <c r="H6" s="7">
        <v>7.74</v>
      </c>
      <c r="I6" s="6" t="s">
        <v>85</v>
      </c>
      <c r="K6" s="7">
        <v>1.97</v>
      </c>
      <c r="L6" s="6" t="s">
        <v>86</v>
      </c>
      <c r="N6" s="7">
        <f t="shared" si="0"/>
        <v>0.46439999999999998</v>
      </c>
      <c r="O6" s="6" t="s">
        <v>86</v>
      </c>
      <c r="Q6" s="18">
        <f t="shared" si="1"/>
        <v>1.3932</v>
      </c>
      <c r="R6" s="6" t="s">
        <v>86</v>
      </c>
      <c r="W6" s="7"/>
      <c r="Z6" s="7"/>
    </row>
    <row r="7" spans="1:27" s="6" customFormat="1" ht="15.75" x14ac:dyDescent="0.25">
      <c r="A7" s="6" t="s">
        <v>114</v>
      </c>
      <c r="C7" s="6" t="s">
        <v>2</v>
      </c>
      <c r="E7" s="6">
        <v>255</v>
      </c>
      <c r="F7" s="6" t="s">
        <v>12</v>
      </c>
      <c r="H7" s="7">
        <v>7.06</v>
      </c>
      <c r="I7" s="6" t="s">
        <v>85</v>
      </c>
      <c r="K7" s="7">
        <v>1.8</v>
      </c>
      <c r="L7" s="6" t="s">
        <v>86</v>
      </c>
      <c r="N7" s="7">
        <f t="shared" si="0"/>
        <v>0.42359999999999998</v>
      </c>
      <c r="O7" s="6" t="s">
        <v>86</v>
      </c>
      <c r="Q7" s="18">
        <f t="shared" si="1"/>
        <v>1.2707999999999999</v>
      </c>
      <c r="R7" s="6" t="s">
        <v>86</v>
      </c>
      <c r="W7" s="7"/>
      <c r="Z7" s="7"/>
    </row>
    <row r="8" spans="1:27" s="6" customFormat="1" ht="15.75" x14ac:dyDescent="0.25">
      <c r="A8" s="6" t="s">
        <v>115</v>
      </c>
      <c r="C8" s="6" t="s">
        <v>2</v>
      </c>
      <c r="E8" s="6">
        <v>255</v>
      </c>
      <c r="F8" s="6" t="s">
        <v>12</v>
      </c>
      <c r="H8" s="7">
        <v>20.18</v>
      </c>
      <c r="I8" s="6" t="s">
        <v>85</v>
      </c>
      <c r="K8" s="7">
        <v>5.15</v>
      </c>
      <c r="L8" s="6" t="s">
        <v>86</v>
      </c>
      <c r="N8" s="7">
        <f t="shared" si="0"/>
        <v>1.2107999999999999</v>
      </c>
      <c r="O8" s="6" t="s">
        <v>86</v>
      </c>
      <c r="Q8" s="18">
        <f>H8*0.18</f>
        <v>3.6323999999999996</v>
      </c>
      <c r="R8" s="6" t="s">
        <v>86</v>
      </c>
      <c r="W8" s="7"/>
      <c r="Z8" s="7"/>
    </row>
    <row r="9" spans="1:27" s="6" customFormat="1" ht="15.75" x14ac:dyDescent="0.25">
      <c r="A9" s="6" t="s">
        <v>116</v>
      </c>
      <c r="C9" s="6" t="s">
        <v>4</v>
      </c>
      <c r="E9" s="6">
        <v>120</v>
      </c>
      <c r="F9" s="6" t="s">
        <v>12</v>
      </c>
      <c r="H9" s="7">
        <v>7.56</v>
      </c>
      <c r="I9" s="6" t="s">
        <v>85</v>
      </c>
      <c r="K9" s="7">
        <v>0.91</v>
      </c>
      <c r="L9" s="6" t="s">
        <v>86</v>
      </c>
      <c r="N9" s="7">
        <f t="shared" si="0"/>
        <v>0.45359999999999995</v>
      </c>
      <c r="O9" s="6" t="s">
        <v>86</v>
      </c>
      <c r="Q9" s="18"/>
      <c r="W9" s="7">
        <f>H9*0.03</f>
        <v>0.22679999999999997</v>
      </c>
      <c r="X9" s="6" t="s">
        <v>86</v>
      </c>
      <c r="Z9" s="7">
        <f t="shared" ref="Z9:Z64" si="2">H9*0.015</f>
        <v>0.11339999999999999</v>
      </c>
      <c r="AA9" s="6" t="s">
        <v>86</v>
      </c>
    </row>
    <row r="10" spans="1:27" s="6" customFormat="1" ht="15.75" x14ac:dyDescent="0.25">
      <c r="A10" s="6" t="s">
        <v>117</v>
      </c>
      <c r="C10" s="6" t="s">
        <v>4</v>
      </c>
      <c r="E10" s="6">
        <v>120</v>
      </c>
      <c r="F10" s="6" t="s">
        <v>12</v>
      </c>
      <c r="H10" s="7">
        <v>7.41</v>
      </c>
      <c r="I10" s="6" t="s">
        <v>85</v>
      </c>
      <c r="K10" s="7">
        <v>0.89</v>
      </c>
      <c r="L10" s="6" t="s">
        <v>86</v>
      </c>
      <c r="N10" s="7">
        <f t="shared" si="0"/>
        <v>0.4446</v>
      </c>
      <c r="O10" s="6" t="s">
        <v>86</v>
      </c>
      <c r="Q10" s="18"/>
      <c r="W10" s="7">
        <f t="shared" ref="W10:W23" si="3">H10*0.03</f>
        <v>0.2223</v>
      </c>
      <c r="X10" s="6" t="s">
        <v>86</v>
      </c>
      <c r="Z10" s="7">
        <f t="shared" si="2"/>
        <v>0.11115</v>
      </c>
      <c r="AA10" s="6" t="s">
        <v>86</v>
      </c>
    </row>
    <row r="11" spans="1:27" s="6" customFormat="1" ht="15.75" x14ac:dyDescent="0.25">
      <c r="A11" s="6" t="s">
        <v>118</v>
      </c>
      <c r="C11" s="6" t="s">
        <v>4</v>
      </c>
      <c r="E11" s="6">
        <v>120</v>
      </c>
      <c r="F11" s="6" t="s">
        <v>12</v>
      </c>
      <c r="H11" s="7">
        <v>1.95</v>
      </c>
      <c r="I11" s="6" t="s">
        <v>85</v>
      </c>
      <c r="K11" s="7">
        <v>0.23</v>
      </c>
      <c r="L11" s="6" t="s">
        <v>86</v>
      </c>
      <c r="N11" s="7">
        <f t="shared" si="0"/>
        <v>0.11699999999999999</v>
      </c>
      <c r="O11" s="6" t="s">
        <v>86</v>
      </c>
      <c r="Q11" s="18"/>
      <c r="W11" s="7">
        <f t="shared" si="3"/>
        <v>5.8499999999999996E-2</v>
      </c>
      <c r="X11" s="6" t="s">
        <v>86</v>
      </c>
      <c r="Z11" s="7">
        <f t="shared" si="2"/>
        <v>2.9249999999999998E-2</v>
      </c>
      <c r="AA11" s="6" t="s">
        <v>86</v>
      </c>
    </row>
    <row r="12" spans="1:27" s="6" customFormat="1" ht="15.75" x14ac:dyDescent="0.25">
      <c r="A12" s="6" t="s">
        <v>119</v>
      </c>
      <c r="C12" s="6" t="s">
        <v>4</v>
      </c>
      <c r="E12" s="6">
        <v>120</v>
      </c>
      <c r="F12" s="6" t="s">
        <v>12</v>
      </c>
      <c r="H12" s="7">
        <v>84.55</v>
      </c>
      <c r="I12" s="6" t="s">
        <v>85</v>
      </c>
      <c r="K12" s="7">
        <v>10.15</v>
      </c>
      <c r="L12" s="6" t="s">
        <v>86</v>
      </c>
      <c r="N12" s="7">
        <f t="shared" si="0"/>
        <v>5.0729999999999995</v>
      </c>
      <c r="O12" s="6" t="s">
        <v>86</v>
      </c>
      <c r="Q12" s="18"/>
      <c r="W12" s="7">
        <f t="shared" si="3"/>
        <v>2.5364999999999998</v>
      </c>
      <c r="X12" s="6" t="s">
        <v>86</v>
      </c>
      <c r="Z12" s="7">
        <f t="shared" si="2"/>
        <v>1.2682499999999999</v>
      </c>
      <c r="AA12" s="6" t="s">
        <v>86</v>
      </c>
    </row>
    <row r="13" spans="1:27" s="6" customFormat="1" ht="15.75" x14ac:dyDescent="0.25">
      <c r="A13" s="6" t="s">
        <v>120</v>
      </c>
      <c r="C13" s="6" t="s">
        <v>5</v>
      </c>
      <c r="E13" s="6">
        <v>120</v>
      </c>
      <c r="F13" s="6" t="s">
        <v>12</v>
      </c>
      <c r="H13" s="7">
        <v>17.12</v>
      </c>
      <c r="I13" s="6" t="s">
        <v>85</v>
      </c>
      <c r="K13" s="7">
        <v>2.0499999999999998</v>
      </c>
      <c r="L13" s="6" t="s">
        <v>86</v>
      </c>
      <c r="N13" s="7">
        <f t="shared" si="0"/>
        <v>1.0272000000000001</v>
      </c>
      <c r="O13" s="6" t="s">
        <v>86</v>
      </c>
      <c r="Q13" s="18"/>
      <c r="W13" s="7">
        <f t="shared" si="3"/>
        <v>0.51360000000000006</v>
      </c>
      <c r="X13" s="6" t="s">
        <v>86</v>
      </c>
      <c r="Z13" s="7">
        <f t="shared" si="2"/>
        <v>0.25680000000000003</v>
      </c>
      <c r="AA13" s="6" t="s">
        <v>86</v>
      </c>
    </row>
    <row r="14" spans="1:27" s="6" customFormat="1" ht="15.75" x14ac:dyDescent="0.25">
      <c r="A14" s="6" t="s">
        <v>121</v>
      </c>
      <c r="C14" s="6" t="s">
        <v>5</v>
      </c>
      <c r="E14" s="6">
        <v>120</v>
      </c>
      <c r="F14" s="6" t="s">
        <v>12</v>
      </c>
      <c r="H14" s="7">
        <v>2.73</v>
      </c>
      <c r="I14" s="6" t="s">
        <v>85</v>
      </c>
      <c r="K14" s="7">
        <v>0.33</v>
      </c>
      <c r="L14" s="6" t="s">
        <v>86</v>
      </c>
      <c r="N14" s="7">
        <f t="shared" si="0"/>
        <v>0.1638</v>
      </c>
      <c r="O14" s="6" t="s">
        <v>86</v>
      </c>
      <c r="Q14" s="18"/>
      <c r="W14" s="7">
        <f t="shared" si="3"/>
        <v>8.1900000000000001E-2</v>
      </c>
      <c r="X14" s="6" t="s">
        <v>86</v>
      </c>
      <c r="Z14" s="7">
        <f t="shared" si="2"/>
        <v>4.095E-2</v>
      </c>
      <c r="AA14" s="6" t="s">
        <v>86</v>
      </c>
    </row>
    <row r="15" spans="1:27" s="6" customFormat="1" ht="15.75" x14ac:dyDescent="0.25">
      <c r="A15" s="6" t="s">
        <v>122</v>
      </c>
      <c r="C15" s="6" t="s">
        <v>5</v>
      </c>
      <c r="E15" s="6">
        <v>120</v>
      </c>
      <c r="F15" s="6" t="s">
        <v>12</v>
      </c>
      <c r="H15" s="7">
        <v>8.49</v>
      </c>
      <c r="I15" s="6" t="s">
        <v>85</v>
      </c>
      <c r="K15" s="7">
        <v>1.02</v>
      </c>
      <c r="L15" s="6" t="s">
        <v>86</v>
      </c>
      <c r="N15" s="7">
        <f t="shared" si="0"/>
        <v>0.50939999999999996</v>
      </c>
      <c r="O15" s="6" t="s">
        <v>86</v>
      </c>
      <c r="Q15" s="18"/>
      <c r="W15" s="7">
        <f t="shared" si="3"/>
        <v>0.25469999999999998</v>
      </c>
      <c r="X15" s="6" t="s">
        <v>86</v>
      </c>
      <c r="Z15" s="7">
        <f t="shared" si="2"/>
        <v>0.12734999999999999</v>
      </c>
      <c r="AA15" s="6" t="s">
        <v>86</v>
      </c>
    </row>
    <row r="16" spans="1:27" s="6" customFormat="1" ht="15.75" x14ac:dyDescent="0.25">
      <c r="A16" s="6" t="s">
        <v>123</v>
      </c>
      <c r="C16" s="6" t="s">
        <v>5</v>
      </c>
      <c r="E16" s="6">
        <v>120</v>
      </c>
      <c r="F16" s="6" t="s">
        <v>12</v>
      </c>
      <c r="H16" s="7">
        <v>20.03</v>
      </c>
      <c r="I16" s="6" t="s">
        <v>85</v>
      </c>
      <c r="K16" s="7">
        <v>2.4</v>
      </c>
      <c r="L16" s="6" t="s">
        <v>86</v>
      </c>
      <c r="N16" s="7">
        <f t="shared" si="0"/>
        <v>1.2018</v>
      </c>
      <c r="O16" s="6" t="s">
        <v>86</v>
      </c>
      <c r="Q16" s="18"/>
      <c r="W16" s="7">
        <f t="shared" si="3"/>
        <v>0.60089999999999999</v>
      </c>
      <c r="X16" s="6" t="s">
        <v>86</v>
      </c>
      <c r="Z16" s="7">
        <f t="shared" si="2"/>
        <v>0.30044999999999999</v>
      </c>
      <c r="AA16" s="6" t="s">
        <v>86</v>
      </c>
    </row>
    <row r="17" spans="1:27" s="6" customFormat="1" ht="15.75" x14ac:dyDescent="0.25">
      <c r="A17" s="6" t="s">
        <v>124</v>
      </c>
      <c r="C17" s="6" t="s">
        <v>5</v>
      </c>
      <c r="E17" s="6">
        <v>120</v>
      </c>
      <c r="F17" s="6" t="s">
        <v>12</v>
      </c>
      <c r="H17" s="7">
        <v>18.98</v>
      </c>
      <c r="I17" s="6" t="s">
        <v>85</v>
      </c>
      <c r="K17" s="7">
        <v>2.2799999999999998</v>
      </c>
      <c r="L17" s="6" t="s">
        <v>86</v>
      </c>
      <c r="N17" s="7">
        <f>H17*0.06</f>
        <v>1.1388</v>
      </c>
      <c r="O17" s="6" t="s">
        <v>86</v>
      </c>
      <c r="Q17" s="18"/>
      <c r="W17" s="7">
        <f t="shared" si="3"/>
        <v>0.56940000000000002</v>
      </c>
      <c r="X17" s="6" t="s">
        <v>86</v>
      </c>
      <c r="Z17" s="7">
        <f t="shared" si="2"/>
        <v>0.28470000000000001</v>
      </c>
      <c r="AA17" s="6" t="s">
        <v>86</v>
      </c>
    </row>
    <row r="18" spans="1:27" s="6" customFormat="1" ht="15.75" x14ac:dyDescent="0.25">
      <c r="A18" s="6" t="s">
        <v>125</v>
      </c>
      <c r="C18" s="6" t="s">
        <v>5</v>
      </c>
      <c r="E18" s="6">
        <v>120</v>
      </c>
      <c r="F18" s="6" t="s">
        <v>12</v>
      </c>
      <c r="H18" s="7">
        <v>20.74</v>
      </c>
      <c r="I18" s="6" t="s">
        <v>85</v>
      </c>
      <c r="K18" s="7">
        <v>2.4900000000000002</v>
      </c>
      <c r="L18" s="6" t="s">
        <v>86</v>
      </c>
      <c r="N18" s="7">
        <f t="shared" si="0"/>
        <v>1.2444</v>
      </c>
      <c r="O18" s="6" t="s">
        <v>86</v>
      </c>
      <c r="Q18" s="18"/>
      <c r="W18" s="7">
        <f t="shared" si="3"/>
        <v>0.62219999999999998</v>
      </c>
      <c r="X18" s="6" t="s">
        <v>86</v>
      </c>
      <c r="Z18" s="7">
        <f t="shared" si="2"/>
        <v>0.31109999999999999</v>
      </c>
      <c r="AA18" s="6" t="s">
        <v>86</v>
      </c>
    </row>
    <row r="19" spans="1:27" s="6" customFormat="1" ht="15.75" x14ac:dyDescent="0.25">
      <c r="A19" s="6" t="s">
        <v>126</v>
      </c>
      <c r="C19" s="6" t="s">
        <v>48</v>
      </c>
      <c r="E19" s="6">
        <v>120</v>
      </c>
      <c r="F19" s="6" t="s">
        <v>12</v>
      </c>
      <c r="H19" s="7">
        <v>15.02</v>
      </c>
      <c r="I19" s="6" t="s">
        <v>85</v>
      </c>
      <c r="K19" s="7">
        <v>1.8</v>
      </c>
      <c r="L19" s="6" t="s">
        <v>86</v>
      </c>
      <c r="N19" s="7">
        <f t="shared" si="0"/>
        <v>0.90119999999999989</v>
      </c>
      <c r="O19" s="6" t="s">
        <v>86</v>
      </c>
      <c r="Q19" s="18"/>
      <c r="W19" s="7">
        <f t="shared" si="3"/>
        <v>0.45059999999999995</v>
      </c>
      <c r="X19" s="6" t="s">
        <v>86</v>
      </c>
      <c r="Z19" s="7">
        <f t="shared" si="2"/>
        <v>0.22529999999999997</v>
      </c>
      <c r="AA19" s="6" t="s">
        <v>86</v>
      </c>
    </row>
    <row r="20" spans="1:27" s="6" customFormat="1" ht="15.75" x14ac:dyDescent="0.25">
      <c r="A20" s="6" t="s">
        <v>127</v>
      </c>
      <c r="C20" s="6" t="s">
        <v>48</v>
      </c>
      <c r="E20" s="6">
        <v>120</v>
      </c>
      <c r="F20" s="6" t="s">
        <v>12</v>
      </c>
      <c r="H20" s="7">
        <v>8.81</v>
      </c>
      <c r="I20" s="6" t="s">
        <v>85</v>
      </c>
      <c r="K20" s="7">
        <v>1.06</v>
      </c>
      <c r="L20" s="6" t="s">
        <v>86</v>
      </c>
      <c r="N20" s="7">
        <f t="shared" si="0"/>
        <v>0.52859999999999996</v>
      </c>
      <c r="O20" s="6" t="s">
        <v>86</v>
      </c>
      <c r="Q20" s="18"/>
      <c r="W20" s="7">
        <f t="shared" si="3"/>
        <v>0.26429999999999998</v>
      </c>
      <c r="X20" s="6" t="s">
        <v>86</v>
      </c>
      <c r="Z20" s="7">
        <f t="shared" si="2"/>
        <v>0.13214999999999999</v>
      </c>
      <c r="AA20" s="6" t="s">
        <v>86</v>
      </c>
    </row>
    <row r="21" spans="1:27" s="6" customFormat="1" ht="15.75" x14ac:dyDescent="0.25">
      <c r="A21" s="6" t="s">
        <v>381</v>
      </c>
      <c r="C21" s="6" t="s">
        <v>48</v>
      </c>
      <c r="E21" s="6">
        <v>120</v>
      </c>
      <c r="F21" s="6" t="s">
        <v>12</v>
      </c>
      <c r="H21" s="7">
        <v>5.24</v>
      </c>
      <c r="I21" s="6" t="s">
        <v>85</v>
      </c>
      <c r="K21" s="7">
        <v>0.82</v>
      </c>
      <c r="L21" s="6" t="s">
        <v>86</v>
      </c>
      <c r="N21" s="7">
        <f t="shared" si="0"/>
        <v>0.31440000000000001</v>
      </c>
      <c r="O21" s="6" t="s">
        <v>86</v>
      </c>
      <c r="Q21" s="18"/>
      <c r="W21" s="7">
        <f t="shared" si="3"/>
        <v>0.15720000000000001</v>
      </c>
      <c r="X21" s="6" t="s">
        <v>86</v>
      </c>
      <c r="Z21" s="7">
        <f t="shared" si="2"/>
        <v>7.8600000000000003E-2</v>
      </c>
      <c r="AA21" s="6" t="s">
        <v>86</v>
      </c>
    </row>
    <row r="22" spans="1:27" s="6" customFormat="1" ht="15.75" x14ac:dyDescent="0.25">
      <c r="A22" s="6" t="s">
        <v>128</v>
      </c>
      <c r="C22" s="6" t="s">
        <v>48</v>
      </c>
      <c r="E22" s="6">
        <v>135</v>
      </c>
      <c r="F22" s="6" t="s">
        <v>12</v>
      </c>
      <c r="H22" s="7">
        <v>30.34</v>
      </c>
      <c r="I22" s="6" t="s">
        <v>85</v>
      </c>
      <c r="K22" s="7">
        <v>3.024</v>
      </c>
      <c r="L22" s="6" t="s">
        <v>86</v>
      </c>
      <c r="N22" s="7"/>
      <c r="Q22" s="18"/>
      <c r="T22" s="7">
        <f>H22*0.1</f>
        <v>3.0340000000000003</v>
      </c>
      <c r="U22" s="6" t="s">
        <v>86</v>
      </c>
      <c r="W22" s="7"/>
      <c r="Z22" s="7">
        <f t="shared" si="2"/>
        <v>0.4551</v>
      </c>
      <c r="AA22" s="6" t="s">
        <v>86</v>
      </c>
    </row>
    <row r="23" spans="1:27" s="6" customFormat="1" ht="15.75" x14ac:dyDescent="0.25">
      <c r="A23" s="6" t="s">
        <v>129</v>
      </c>
      <c r="C23" s="6" t="s">
        <v>48</v>
      </c>
      <c r="E23" s="6">
        <v>120</v>
      </c>
      <c r="F23" s="6" t="s">
        <v>12</v>
      </c>
      <c r="H23" s="7">
        <v>21.29</v>
      </c>
      <c r="I23" s="6" t="s">
        <v>85</v>
      </c>
      <c r="K23" s="7">
        <v>2.5499999999999998</v>
      </c>
      <c r="L23" s="6" t="s">
        <v>86</v>
      </c>
      <c r="N23" s="7">
        <f t="shared" si="0"/>
        <v>1.2773999999999999</v>
      </c>
      <c r="O23" s="6" t="s">
        <v>86</v>
      </c>
      <c r="Q23" s="18"/>
      <c r="W23" s="7">
        <f t="shared" si="3"/>
        <v>0.63869999999999993</v>
      </c>
      <c r="X23" s="6" t="s">
        <v>86</v>
      </c>
      <c r="Z23" s="7">
        <f t="shared" si="2"/>
        <v>0.31934999999999997</v>
      </c>
      <c r="AA23" s="6" t="s">
        <v>86</v>
      </c>
    </row>
    <row r="24" spans="1:27" s="6" customFormat="1" ht="13.5" x14ac:dyDescent="0.25">
      <c r="H24" s="7"/>
      <c r="K24" s="7"/>
      <c r="N24" s="7"/>
      <c r="O24" s="18"/>
      <c r="Q24" s="18"/>
      <c r="W24" s="7"/>
      <c r="Z24" s="7"/>
    </row>
    <row r="25" spans="1:27" s="6" customFormat="1" ht="15.75" x14ac:dyDescent="0.25">
      <c r="A25" s="6" t="s">
        <v>130</v>
      </c>
      <c r="C25" s="6" t="s">
        <v>2</v>
      </c>
      <c r="E25" s="6">
        <v>255</v>
      </c>
      <c r="F25" s="6" t="s">
        <v>12</v>
      </c>
      <c r="H25" s="7">
        <v>15.72</v>
      </c>
      <c r="I25" s="6" t="s">
        <v>85</v>
      </c>
      <c r="K25" s="7">
        <v>4.01</v>
      </c>
      <c r="L25" s="6" t="s">
        <v>86</v>
      </c>
      <c r="N25" s="7">
        <f t="shared" si="0"/>
        <v>0.94320000000000004</v>
      </c>
      <c r="O25" s="6" t="s">
        <v>86</v>
      </c>
      <c r="Q25" s="18">
        <f t="shared" si="1"/>
        <v>2.8296000000000001</v>
      </c>
      <c r="R25" s="6" t="s">
        <v>86</v>
      </c>
      <c r="W25" s="7"/>
      <c r="Z25" s="7"/>
    </row>
    <row r="26" spans="1:27" s="6" customFormat="1" ht="15.75" x14ac:dyDescent="0.25">
      <c r="A26" s="6" t="s">
        <v>131</v>
      </c>
      <c r="C26" s="6" t="s">
        <v>2</v>
      </c>
      <c r="E26" s="6">
        <v>255</v>
      </c>
      <c r="F26" s="6" t="s">
        <v>12</v>
      </c>
      <c r="H26" s="7">
        <v>9.49</v>
      </c>
      <c r="I26" s="6" t="s">
        <v>85</v>
      </c>
      <c r="K26" s="7">
        <v>2.42</v>
      </c>
      <c r="L26" s="6" t="s">
        <v>86</v>
      </c>
      <c r="N26" s="7">
        <f t="shared" si="0"/>
        <v>0.56940000000000002</v>
      </c>
      <c r="O26" s="6" t="s">
        <v>86</v>
      </c>
      <c r="Q26" s="18">
        <f t="shared" si="1"/>
        <v>1.7081999999999999</v>
      </c>
      <c r="R26" s="6" t="s">
        <v>86</v>
      </c>
      <c r="W26" s="7"/>
      <c r="Z26" s="7"/>
    </row>
    <row r="27" spans="1:27" s="6" customFormat="1" ht="15.75" x14ac:dyDescent="0.25">
      <c r="A27" s="6" t="s">
        <v>132</v>
      </c>
      <c r="C27" s="6" t="s">
        <v>2</v>
      </c>
      <c r="E27" s="6">
        <v>255</v>
      </c>
      <c r="F27" s="6" t="s">
        <v>12</v>
      </c>
      <c r="H27" s="7">
        <v>16.649999999999999</v>
      </c>
      <c r="I27" s="6" t="s">
        <v>85</v>
      </c>
      <c r="K27" s="7">
        <v>4.25</v>
      </c>
      <c r="L27" s="6" t="s">
        <v>86</v>
      </c>
      <c r="N27" s="7">
        <f t="shared" si="0"/>
        <v>0.99899999999999989</v>
      </c>
      <c r="O27" s="6" t="s">
        <v>86</v>
      </c>
      <c r="Q27" s="18">
        <f t="shared" si="1"/>
        <v>2.9969999999999994</v>
      </c>
      <c r="R27" s="6" t="s">
        <v>86</v>
      </c>
      <c r="W27" s="7"/>
      <c r="Z27" s="7"/>
    </row>
    <row r="28" spans="1:27" s="6" customFormat="1" ht="15.75" x14ac:dyDescent="0.25">
      <c r="A28" s="6" t="s">
        <v>133</v>
      </c>
      <c r="C28" s="6" t="s">
        <v>4</v>
      </c>
      <c r="E28" s="6">
        <v>120</v>
      </c>
      <c r="F28" s="6" t="s">
        <v>12</v>
      </c>
      <c r="H28" s="7">
        <v>2.08</v>
      </c>
      <c r="I28" s="6" t="s">
        <v>85</v>
      </c>
      <c r="K28" s="7">
        <v>0.25</v>
      </c>
      <c r="L28" s="6" t="s">
        <v>86</v>
      </c>
      <c r="N28" s="7">
        <f t="shared" si="0"/>
        <v>0.12479999999999999</v>
      </c>
      <c r="O28" s="6" t="s">
        <v>86</v>
      </c>
      <c r="Q28" s="18"/>
      <c r="W28" s="7">
        <f>H28*0.03</f>
        <v>6.2399999999999997E-2</v>
      </c>
      <c r="X28" s="6" t="s">
        <v>86</v>
      </c>
      <c r="Z28" s="7">
        <f t="shared" si="2"/>
        <v>3.1199999999999999E-2</v>
      </c>
      <c r="AA28" s="6" t="s">
        <v>86</v>
      </c>
    </row>
    <row r="29" spans="1:27" s="6" customFormat="1" ht="15.75" x14ac:dyDescent="0.25">
      <c r="A29" s="6" t="s">
        <v>134</v>
      </c>
      <c r="C29" s="6" t="s">
        <v>4</v>
      </c>
      <c r="E29" s="6">
        <v>120</v>
      </c>
      <c r="F29" s="6" t="s">
        <v>12</v>
      </c>
      <c r="H29" s="7">
        <v>1.97</v>
      </c>
      <c r="I29" s="6" t="s">
        <v>85</v>
      </c>
      <c r="K29" s="7">
        <v>0.24</v>
      </c>
      <c r="L29" s="6" t="s">
        <v>86</v>
      </c>
      <c r="N29" s="7">
        <f t="shared" si="0"/>
        <v>0.1182</v>
      </c>
      <c r="O29" s="6" t="s">
        <v>86</v>
      </c>
      <c r="Q29" s="18"/>
      <c r="W29" s="7">
        <f t="shared" ref="W29:W44" si="4">H29*0.03</f>
        <v>5.91E-2</v>
      </c>
      <c r="X29" s="6" t="s">
        <v>86</v>
      </c>
      <c r="Z29" s="7">
        <f t="shared" si="2"/>
        <v>2.955E-2</v>
      </c>
      <c r="AA29" s="6" t="s">
        <v>86</v>
      </c>
    </row>
    <row r="30" spans="1:27" s="6" customFormat="1" ht="15.75" x14ac:dyDescent="0.25">
      <c r="A30" s="6" t="s">
        <v>135</v>
      </c>
      <c r="C30" s="6" t="s">
        <v>4</v>
      </c>
      <c r="E30" s="6">
        <v>120</v>
      </c>
      <c r="F30" s="6" t="s">
        <v>12</v>
      </c>
      <c r="H30" s="7">
        <v>15.1</v>
      </c>
      <c r="I30" s="6" t="s">
        <v>85</v>
      </c>
      <c r="K30" s="7">
        <v>1.81</v>
      </c>
      <c r="L30" s="6" t="s">
        <v>86</v>
      </c>
      <c r="N30" s="7">
        <f t="shared" si="0"/>
        <v>0.90599999999999992</v>
      </c>
      <c r="O30" s="6" t="s">
        <v>86</v>
      </c>
      <c r="Q30" s="18"/>
      <c r="W30" s="7">
        <f t="shared" si="4"/>
        <v>0.45299999999999996</v>
      </c>
      <c r="X30" s="6" t="s">
        <v>86</v>
      </c>
      <c r="Z30" s="7">
        <f t="shared" si="2"/>
        <v>0.22649999999999998</v>
      </c>
      <c r="AA30" s="6" t="s">
        <v>86</v>
      </c>
    </row>
    <row r="31" spans="1:27" s="6" customFormat="1" ht="15.75" x14ac:dyDescent="0.25">
      <c r="A31" s="6" t="s">
        <v>136</v>
      </c>
      <c r="C31" s="6" t="s">
        <v>4</v>
      </c>
      <c r="E31" s="6">
        <v>120</v>
      </c>
      <c r="F31" s="6" t="s">
        <v>12</v>
      </c>
      <c r="H31" s="7">
        <v>12.42</v>
      </c>
      <c r="I31" s="6" t="s">
        <v>85</v>
      </c>
      <c r="K31" s="7">
        <v>1.49</v>
      </c>
      <c r="L31" s="6" t="s">
        <v>86</v>
      </c>
      <c r="N31" s="7">
        <f t="shared" si="0"/>
        <v>0.74519999999999997</v>
      </c>
      <c r="O31" s="6" t="s">
        <v>86</v>
      </c>
      <c r="Q31" s="18"/>
      <c r="W31" s="7">
        <f t="shared" si="4"/>
        <v>0.37259999999999999</v>
      </c>
      <c r="X31" s="6" t="s">
        <v>86</v>
      </c>
      <c r="Z31" s="7">
        <f t="shared" si="2"/>
        <v>0.18629999999999999</v>
      </c>
      <c r="AA31" s="6" t="s">
        <v>86</v>
      </c>
    </row>
    <row r="32" spans="1:27" s="6" customFormat="1" ht="15.75" x14ac:dyDescent="0.25">
      <c r="A32" s="6" t="s">
        <v>137</v>
      </c>
      <c r="C32" s="6" t="s">
        <v>4</v>
      </c>
      <c r="E32" s="6">
        <v>120</v>
      </c>
      <c r="F32" s="6" t="s">
        <v>12</v>
      </c>
      <c r="H32" s="7">
        <v>22.01</v>
      </c>
      <c r="I32" s="6" t="s">
        <v>85</v>
      </c>
      <c r="K32" s="7">
        <v>2.64</v>
      </c>
      <c r="L32" s="6" t="s">
        <v>86</v>
      </c>
      <c r="N32" s="7">
        <f t="shared" si="0"/>
        <v>1.3206</v>
      </c>
      <c r="O32" s="6" t="s">
        <v>86</v>
      </c>
      <c r="Q32" s="18"/>
      <c r="W32" s="7">
        <f t="shared" si="4"/>
        <v>0.6603</v>
      </c>
      <c r="X32" s="6" t="s">
        <v>86</v>
      </c>
      <c r="Z32" s="7">
        <f t="shared" si="2"/>
        <v>0.33015</v>
      </c>
      <c r="AA32" s="6" t="s">
        <v>86</v>
      </c>
    </row>
    <row r="33" spans="1:27" s="6" customFormat="1" ht="15.75" x14ac:dyDescent="0.25">
      <c r="A33" s="6" t="s">
        <v>138</v>
      </c>
      <c r="C33" s="6" t="s">
        <v>4</v>
      </c>
      <c r="E33" s="6">
        <v>120</v>
      </c>
      <c r="F33" s="6" t="s">
        <v>12</v>
      </c>
      <c r="H33" s="7">
        <v>10.7</v>
      </c>
      <c r="I33" s="6" t="s">
        <v>85</v>
      </c>
      <c r="K33" s="7">
        <v>1.28</v>
      </c>
      <c r="L33" s="6" t="s">
        <v>86</v>
      </c>
      <c r="N33" s="7">
        <f t="shared" si="0"/>
        <v>0.6419999999999999</v>
      </c>
      <c r="O33" s="6" t="s">
        <v>86</v>
      </c>
      <c r="Q33" s="18"/>
      <c r="W33" s="7">
        <f t="shared" si="4"/>
        <v>0.32099999999999995</v>
      </c>
      <c r="X33" s="6" t="s">
        <v>86</v>
      </c>
      <c r="Z33" s="7">
        <f t="shared" si="2"/>
        <v>0.16049999999999998</v>
      </c>
      <c r="AA33" s="6" t="s">
        <v>86</v>
      </c>
    </row>
    <row r="34" spans="1:27" s="6" customFormat="1" ht="15.75" x14ac:dyDescent="0.25">
      <c r="A34" s="6" t="s">
        <v>139</v>
      </c>
      <c r="C34" s="6" t="s">
        <v>5</v>
      </c>
      <c r="E34" s="6">
        <v>120</v>
      </c>
      <c r="F34" s="6" t="s">
        <v>12</v>
      </c>
      <c r="H34" s="7">
        <v>8.11</v>
      </c>
      <c r="I34" s="6" t="s">
        <v>85</v>
      </c>
      <c r="K34" s="7">
        <v>0.97</v>
      </c>
      <c r="L34" s="6" t="s">
        <v>86</v>
      </c>
      <c r="N34" s="7">
        <f t="shared" si="0"/>
        <v>0.48659999999999992</v>
      </c>
      <c r="O34" s="6" t="s">
        <v>86</v>
      </c>
      <c r="Q34" s="18"/>
      <c r="W34" s="7">
        <f t="shared" si="4"/>
        <v>0.24329999999999996</v>
      </c>
      <c r="X34" s="6" t="s">
        <v>86</v>
      </c>
      <c r="Z34" s="7">
        <f t="shared" si="2"/>
        <v>0.12164999999999998</v>
      </c>
      <c r="AA34" s="6" t="s">
        <v>86</v>
      </c>
    </row>
    <row r="35" spans="1:27" s="6" customFormat="1" ht="15.75" x14ac:dyDescent="0.25">
      <c r="A35" s="6" t="s">
        <v>140</v>
      </c>
      <c r="C35" s="6" t="s">
        <v>5</v>
      </c>
      <c r="E35" s="6">
        <v>120</v>
      </c>
      <c r="F35" s="6" t="s">
        <v>12</v>
      </c>
      <c r="H35" s="7">
        <v>12.64</v>
      </c>
      <c r="I35" s="6" t="s">
        <v>85</v>
      </c>
      <c r="K35" s="7">
        <v>1.52</v>
      </c>
      <c r="L35" s="6" t="s">
        <v>86</v>
      </c>
      <c r="N35" s="7">
        <f t="shared" si="0"/>
        <v>0.75839999999999996</v>
      </c>
      <c r="O35" s="6" t="s">
        <v>86</v>
      </c>
      <c r="Q35" s="18"/>
      <c r="W35" s="7">
        <f t="shared" si="4"/>
        <v>0.37919999999999998</v>
      </c>
      <c r="X35" s="6" t="s">
        <v>86</v>
      </c>
      <c r="Z35" s="7">
        <f t="shared" si="2"/>
        <v>0.18959999999999999</v>
      </c>
      <c r="AA35" s="6" t="s">
        <v>86</v>
      </c>
    </row>
    <row r="36" spans="1:27" s="6" customFormat="1" ht="15.75" x14ac:dyDescent="0.25">
      <c r="A36" s="6" t="s">
        <v>141</v>
      </c>
      <c r="C36" s="6" t="s">
        <v>5</v>
      </c>
      <c r="E36" s="6">
        <v>120</v>
      </c>
      <c r="F36" s="6" t="s">
        <v>12</v>
      </c>
      <c r="H36" s="7">
        <v>6.78</v>
      </c>
      <c r="I36" s="6" t="s">
        <v>85</v>
      </c>
      <c r="K36" s="7">
        <v>0.81</v>
      </c>
      <c r="L36" s="6" t="s">
        <v>86</v>
      </c>
      <c r="N36" s="7">
        <f t="shared" si="0"/>
        <v>0.40679999999999999</v>
      </c>
      <c r="O36" s="6" t="s">
        <v>86</v>
      </c>
      <c r="Q36" s="18"/>
      <c r="W36" s="7">
        <f t="shared" si="4"/>
        <v>0.2034</v>
      </c>
      <c r="X36" s="6" t="s">
        <v>86</v>
      </c>
      <c r="Z36" s="7">
        <f t="shared" si="2"/>
        <v>0.1017</v>
      </c>
      <c r="AA36" s="6" t="s">
        <v>86</v>
      </c>
    </row>
    <row r="37" spans="1:27" s="6" customFormat="1" ht="15.75" x14ac:dyDescent="0.25">
      <c r="A37" s="6" t="s">
        <v>142</v>
      </c>
      <c r="C37" s="6" t="s">
        <v>5</v>
      </c>
      <c r="E37" s="6">
        <v>120</v>
      </c>
      <c r="F37" s="6" t="s">
        <v>12</v>
      </c>
      <c r="H37" s="7">
        <v>1.98</v>
      </c>
      <c r="I37" s="6" t="s">
        <v>85</v>
      </c>
      <c r="K37" s="7">
        <v>0.24</v>
      </c>
      <c r="L37" s="6" t="s">
        <v>86</v>
      </c>
      <c r="N37" s="7">
        <f t="shared" si="0"/>
        <v>0.11879999999999999</v>
      </c>
      <c r="O37" s="6" t="s">
        <v>86</v>
      </c>
      <c r="Q37" s="18"/>
      <c r="W37" s="7">
        <f t="shared" si="4"/>
        <v>5.9399999999999994E-2</v>
      </c>
      <c r="X37" s="6" t="s">
        <v>86</v>
      </c>
      <c r="Z37" s="7">
        <f t="shared" si="2"/>
        <v>2.9699999999999997E-2</v>
      </c>
      <c r="AA37" s="6" t="s">
        <v>86</v>
      </c>
    </row>
    <row r="38" spans="1:27" s="6" customFormat="1" ht="15.75" x14ac:dyDescent="0.25">
      <c r="A38" s="6" t="s">
        <v>143</v>
      </c>
      <c r="C38" s="6" t="s">
        <v>5</v>
      </c>
      <c r="E38" s="6">
        <v>120</v>
      </c>
      <c r="F38" s="6" t="s">
        <v>12</v>
      </c>
      <c r="H38" s="7">
        <v>16.010000000000002</v>
      </c>
      <c r="I38" s="6" t="s">
        <v>85</v>
      </c>
      <c r="K38" s="7">
        <v>1.92</v>
      </c>
      <c r="L38" s="6" t="s">
        <v>86</v>
      </c>
      <c r="N38" s="7">
        <f t="shared" si="0"/>
        <v>0.96060000000000001</v>
      </c>
      <c r="O38" s="6" t="s">
        <v>86</v>
      </c>
      <c r="Q38" s="18"/>
      <c r="W38" s="7">
        <f t="shared" si="4"/>
        <v>0.4803</v>
      </c>
      <c r="X38" s="6" t="s">
        <v>86</v>
      </c>
      <c r="Z38" s="7">
        <f t="shared" si="2"/>
        <v>0.24015</v>
      </c>
      <c r="AA38" s="6" t="s">
        <v>86</v>
      </c>
    </row>
    <row r="39" spans="1:27" s="6" customFormat="1" ht="15.75" x14ac:dyDescent="0.25">
      <c r="A39" s="6" t="s">
        <v>144</v>
      </c>
      <c r="C39" s="6" t="s">
        <v>5</v>
      </c>
      <c r="E39" s="6">
        <v>120</v>
      </c>
      <c r="F39" s="6" t="s">
        <v>12</v>
      </c>
      <c r="H39" s="7">
        <v>16.010000000000002</v>
      </c>
      <c r="I39" s="6" t="s">
        <v>85</v>
      </c>
      <c r="K39" s="7">
        <v>1.92</v>
      </c>
      <c r="L39" s="6" t="s">
        <v>86</v>
      </c>
      <c r="N39" s="7">
        <f t="shared" si="0"/>
        <v>0.96060000000000001</v>
      </c>
      <c r="O39" s="6" t="s">
        <v>86</v>
      </c>
      <c r="Q39" s="18"/>
      <c r="W39" s="7">
        <f t="shared" si="4"/>
        <v>0.4803</v>
      </c>
      <c r="X39" s="6" t="s">
        <v>86</v>
      </c>
      <c r="Z39" s="7">
        <f t="shared" si="2"/>
        <v>0.24015</v>
      </c>
      <c r="AA39" s="6" t="s">
        <v>86</v>
      </c>
    </row>
    <row r="40" spans="1:27" s="6" customFormat="1" ht="15.75" x14ac:dyDescent="0.25">
      <c r="A40" s="6" t="s">
        <v>145</v>
      </c>
      <c r="C40" s="6" t="s">
        <v>48</v>
      </c>
      <c r="E40" s="6">
        <v>120</v>
      </c>
      <c r="F40" s="6" t="s">
        <v>12</v>
      </c>
      <c r="H40" s="7">
        <v>4.26</v>
      </c>
      <c r="I40" s="6" t="s">
        <v>85</v>
      </c>
      <c r="K40" s="7">
        <v>0.51</v>
      </c>
      <c r="L40" s="6" t="s">
        <v>86</v>
      </c>
      <c r="N40" s="7">
        <f t="shared" si="0"/>
        <v>0.25559999999999999</v>
      </c>
      <c r="O40" s="6" t="s">
        <v>86</v>
      </c>
      <c r="Q40" s="18"/>
      <c r="W40" s="7">
        <f t="shared" si="4"/>
        <v>0.1278</v>
      </c>
      <c r="X40" s="6" t="s">
        <v>86</v>
      </c>
      <c r="Z40" s="7">
        <f t="shared" si="2"/>
        <v>6.3899999999999998E-2</v>
      </c>
      <c r="AA40" s="6" t="s">
        <v>86</v>
      </c>
    </row>
    <row r="41" spans="1:27" s="6" customFormat="1" ht="15.75" x14ac:dyDescent="0.25">
      <c r="A41" s="6" t="s">
        <v>146</v>
      </c>
      <c r="C41" s="6" t="s">
        <v>48</v>
      </c>
      <c r="E41" s="6">
        <v>120</v>
      </c>
      <c r="F41" s="6" t="s">
        <v>12</v>
      </c>
      <c r="H41" s="7">
        <v>10.32</v>
      </c>
      <c r="I41" s="6" t="s">
        <v>85</v>
      </c>
      <c r="K41" s="7">
        <v>1.24</v>
      </c>
      <c r="L41" s="6" t="s">
        <v>86</v>
      </c>
      <c r="N41" s="7">
        <f t="shared" si="0"/>
        <v>0.61919999999999997</v>
      </c>
      <c r="O41" s="6" t="s">
        <v>86</v>
      </c>
      <c r="Q41" s="18"/>
      <c r="W41" s="7">
        <f t="shared" si="4"/>
        <v>0.30959999999999999</v>
      </c>
      <c r="X41" s="6" t="s">
        <v>86</v>
      </c>
      <c r="Z41" s="7">
        <f t="shared" si="2"/>
        <v>0.15479999999999999</v>
      </c>
      <c r="AA41" s="6" t="s">
        <v>86</v>
      </c>
    </row>
    <row r="42" spans="1:27" s="6" customFormat="1" ht="15.75" x14ac:dyDescent="0.25">
      <c r="A42" s="6" t="s">
        <v>147</v>
      </c>
      <c r="C42" s="6" t="s">
        <v>48</v>
      </c>
      <c r="E42" s="6">
        <v>120</v>
      </c>
      <c r="F42" s="6" t="s">
        <v>12</v>
      </c>
      <c r="H42" s="7">
        <v>23.11</v>
      </c>
      <c r="I42" s="6" t="s">
        <v>85</v>
      </c>
      <c r="K42" s="7">
        <v>2.77</v>
      </c>
      <c r="L42" s="6" t="s">
        <v>86</v>
      </c>
      <c r="N42" s="7">
        <f t="shared" si="0"/>
        <v>1.3865999999999998</v>
      </c>
      <c r="O42" s="6" t="s">
        <v>86</v>
      </c>
      <c r="Q42" s="18"/>
      <c r="W42" s="7">
        <f t="shared" si="4"/>
        <v>0.69329999999999992</v>
      </c>
      <c r="X42" s="6" t="s">
        <v>86</v>
      </c>
      <c r="Z42" s="7">
        <f t="shared" si="2"/>
        <v>0.34664999999999996</v>
      </c>
      <c r="AA42" s="6" t="s">
        <v>86</v>
      </c>
    </row>
    <row r="43" spans="1:27" s="6" customFormat="1" ht="15.75" x14ac:dyDescent="0.25">
      <c r="A43" s="6" t="s">
        <v>148</v>
      </c>
      <c r="C43" s="6" t="s">
        <v>48</v>
      </c>
      <c r="E43" s="6">
        <v>120</v>
      </c>
      <c r="F43" s="6" t="s">
        <v>12</v>
      </c>
      <c r="H43" s="7">
        <v>5.77</v>
      </c>
      <c r="I43" s="6" t="s">
        <v>85</v>
      </c>
      <c r="K43" s="7">
        <v>0.69</v>
      </c>
      <c r="L43" s="6" t="s">
        <v>86</v>
      </c>
      <c r="N43" s="7">
        <f t="shared" si="0"/>
        <v>0.34619999999999995</v>
      </c>
      <c r="O43" s="6" t="s">
        <v>86</v>
      </c>
      <c r="Q43" s="18"/>
      <c r="W43" s="7">
        <f t="shared" si="4"/>
        <v>0.17309999999999998</v>
      </c>
      <c r="X43" s="6" t="s">
        <v>86</v>
      </c>
      <c r="Z43" s="7">
        <f t="shared" si="2"/>
        <v>8.6549999999999988E-2</v>
      </c>
      <c r="AA43" s="6" t="s">
        <v>86</v>
      </c>
    </row>
    <row r="44" spans="1:27" s="6" customFormat="1" ht="15.75" x14ac:dyDescent="0.25">
      <c r="A44" s="6" t="s">
        <v>149</v>
      </c>
      <c r="C44" s="6" t="s">
        <v>48</v>
      </c>
      <c r="E44" s="6">
        <v>120</v>
      </c>
      <c r="F44" s="6" t="s">
        <v>12</v>
      </c>
      <c r="H44" s="7">
        <v>6.39</v>
      </c>
      <c r="I44" s="6" t="s">
        <v>85</v>
      </c>
      <c r="K44" s="7">
        <v>0.77</v>
      </c>
      <c r="L44" s="6" t="s">
        <v>86</v>
      </c>
      <c r="N44" s="7">
        <f t="shared" si="0"/>
        <v>0.38339999999999996</v>
      </c>
      <c r="O44" s="6" t="s">
        <v>86</v>
      </c>
      <c r="Q44" s="18"/>
      <c r="W44" s="7">
        <f t="shared" si="4"/>
        <v>0.19169999999999998</v>
      </c>
      <c r="X44" s="6" t="s">
        <v>86</v>
      </c>
      <c r="Z44" s="7">
        <f t="shared" si="2"/>
        <v>9.5849999999999991E-2</v>
      </c>
      <c r="AA44" s="6" t="s">
        <v>86</v>
      </c>
    </row>
    <row r="45" spans="1:27" s="6" customFormat="1" ht="13.5" x14ac:dyDescent="0.25">
      <c r="H45" s="7"/>
      <c r="K45" s="7"/>
      <c r="N45" s="7"/>
      <c r="O45" s="18"/>
      <c r="Q45" s="18"/>
      <c r="W45" s="7"/>
      <c r="Z45" s="7"/>
    </row>
    <row r="46" spans="1:27" s="6" customFormat="1" ht="15.75" x14ac:dyDescent="0.25">
      <c r="A46" s="6" t="s">
        <v>150</v>
      </c>
      <c r="C46" s="6" t="s">
        <v>2</v>
      </c>
      <c r="E46" s="6">
        <v>255</v>
      </c>
      <c r="F46" s="6" t="s">
        <v>12</v>
      </c>
      <c r="H46" s="7">
        <v>15.01</v>
      </c>
      <c r="I46" s="6" t="s">
        <v>85</v>
      </c>
      <c r="K46" s="7">
        <v>3.83</v>
      </c>
      <c r="L46" s="6" t="s">
        <v>86</v>
      </c>
      <c r="N46" s="7">
        <f t="shared" si="0"/>
        <v>0.90059999999999996</v>
      </c>
      <c r="O46" s="6" t="s">
        <v>86</v>
      </c>
      <c r="Q46" s="18">
        <f t="shared" ref="Q46:Q47" si="5">H46*0.18</f>
        <v>2.7018</v>
      </c>
      <c r="R46" s="6" t="s">
        <v>86</v>
      </c>
      <c r="W46" s="7"/>
      <c r="Z46" s="7"/>
    </row>
    <row r="47" spans="1:27" s="6" customFormat="1" ht="15.75" x14ac:dyDescent="0.25">
      <c r="A47" s="6" t="s">
        <v>151</v>
      </c>
      <c r="C47" s="6" t="s">
        <v>2</v>
      </c>
      <c r="E47" s="6">
        <v>255</v>
      </c>
      <c r="F47" s="6" t="s">
        <v>12</v>
      </c>
      <c r="H47" s="7">
        <v>8.56</v>
      </c>
      <c r="I47" s="6" t="s">
        <v>85</v>
      </c>
      <c r="K47" s="7">
        <v>2.1800000000000002</v>
      </c>
      <c r="L47" s="6" t="s">
        <v>86</v>
      </c>
      <c r="N47" s="7">
        <f t="shared" si="0"/>
        <v>0.51360000000000006</v>
      </c>
      <c r="O47" s="6" t="s">
        <v>86</v>
      </c>
      <c r="Q47" s="18">
        <f t="shared" si="5"/>
        <v>1.5407999999999999</v>
      </c>
      <c r="R47" s="6" t="s">
        <v>86</v>
      </c>
      <c r="W47" s="7"/>
      <c r="Z47" s="7"/>
    </row>
    <row r="48" spans="1:27" s="6" customFormat="1" ht="15.75" x14ac:dyDescent="0.25">
      <c r="A48" s="6" t="s">
        <v>152</v>
      </c>
      <c r="C48" s="6" t="s">
        <v>2</v>
      </c>
      <c r="E48" s="6">
        <v>255</v>
      </c>
      <c r="F48" s="6" t="s">
        <v>12</v>
      </c>
      <c r="H48" s="7">
        <v>16.399999999999999</v>
      </c>
      <c r="I48" s="6" t="s">
        <v>85</v>
      </c>
      <c r="K48" s="7">
        <v>4.18</v>
      </c>
      <c r="L48" s="6" t="s">
        <v>86</v>
      </c>
      <c r="N48" s="7">
        <f t="shared" si="0"/>
        <v>0.98399999999999987</v>
      </c>
      <c r="O48" s="6" t="s">
        <v>86</v>
      </c>
      <c r="Q48" s="18">
        <f>H48*0.18</f>
        <v>2.9519999999999995</v>
      </c>
      <c r="R48" s="6" t="s">
        <v>86</v>
      </c>
      <c r="W48" s="7"/>
      <c r="Z48" s="7"/>
    </row>
    <row r="49" spans="1:27" s="6" customFormat="1" ht="15.75" x14ac:dyDescent="0.25">
      <c r="A49" s="6" t="s">
        <v>153</v>
      </c>
      <c r="C49" s="6" t="s">
        <v>4</v>
      </c>
      <c r="E49" s="6">
        <v>120</v>
      </c>
      <c r="F49" s="6" t="s">
        <v>12</v>
      </c>
      <c r="H49" s="7">
        <v>1.97</v>
      </c>
      <c r="I49" s="6" t="s">
        <v>85</v>
      </c>
      <c r="K49" s="7">
        <v>0.24</v>
      </c>
      <c r="L49" s="6" t="s">
        <v>86</v>
      </c>
      <c r="N49" s="7">
        <f t="shared" si="0"/>
        <v>0.1182</v>
      </c>
      <c r="O49" s="6" t="s">
        <v>86</v>
      </c>
      <c r="Q49" s="18"/>
      <c r="W49" s="7">
        <f t="shared" ref="W49:W64" si="6">H49*0.03</f>
        <v>5.91E-2</v>
      </c>
      <c r="X49" s="6" t="s">
        <v>86</v>
      </c>
      <c r="Z49" s="7">
        <f t="shared" si="2"/>
        <v>2.955E-2</v>
      </c>
      <c r="AA49" s="6" t="s">
        <v>86</v>
      </c>
    </row>
    <row r="50" spans="1:27" s="6" customFormat="1" ht="15.75" x14ac:dyDescent="0.25">
      <c r="A50" s="6" t="s">
        <v>154</v>
      </c>
      <c r="C50" s="6" t="s">
        <v>4</v>
      </c>
      <c r="E50" s="6">
        <v>120</v>
      </c>
      <c r="F50" s="6" t="s">
        <v>12</v>
      </c>
      <c r="H50" s="7">
        <v>1.66</v>
      </c>
      <c r="I50" s="6" t="s">
        <v>85</v>
      </c>
      <c r="K50" s="7">
        <v>0.2</v>
      </c>
      <c r="L50" s="6" t="s">
        <v>86</v>
      </c>
      <c r="N50" s="7">
        <f t="shared" si="0"/>
        <v>9.9599999999999994E-2</v>
      </c>
      <c r="O50" s="6" t="s">
        <v>86</v>
      </c>
      <c r="Q50" s="18"/>
      <c r="W50" s="7">
        <f t="shared" si="6"/>
        <v>4.9799999999999997E-2</v>
      </c>
      <c r="X50" s="6" t="s">
        <v>86</v>
      </c>
      <c r="Z50" s="7">
        <f t="shared" si="2"/>
        <v>2.4899999999999999E-2</v>
      </c>
      <c r="AA50" s="6" t="s">
        <v>86</v>
      </c>
    </row>
    <row r="51" spans="1:27" s="6" customFormat="1" ht="15.75" x14ac:dyDescent="0.25">
      <c r="A51" s="6" t="s">
        <v>155</v>
      </c>
      <c r="C51" s="6" t="s">
        <v>4</v>
      </c>
      <c r="E51" s="6">
        <v>120</v>
      </c>
      <c r="F51" s="6" t="s">
        <v>12</v>
      </c>
      <c r="H51" s="7">
        <v>14.2</v>
      </c>
      <c r="I51" s="6" t="s">
        <v>85</v>
      </c>
      <c r="K51" s="7">
        <v>1.7</v>
      </c>
      <c r="L51" s="6" t="s">
        <v>86</v>
      </c>
      <c r="N51" s="7">
        <f t="shared" si="0"/>
        <v>0.85199999999999998</v>
      </c>
      <c r="O51" s="6" t="s">
        <v>86</v>
      </c>
      <c r="Q51" s="18"/>
      <c r="W51" s="7">
        <f t="shared" si="6"/>
        <v>0.42599999999999999</v>
      </c>
      <c r="X51" s="6" t="s">
        <v>86</v>
      </c>
      <c r="Z51" s="7">
        <f t="shared" si="2"/>
        <v>0.21299999999999999</v>
      </c>
      <c r="AA51" s="6" t="s">
        <v>86</v>
      </c>
    </row>
    <row r="52" spans="1:27" s="6" customFormat="1" ht="15.75" x14ac:dyDescent="0.25">
      <c r="A52" s="6" t="s">
        <v>156</v>
      </c>
      <c r="C52" s="6" t="s">
        <v>4</v>
      </c>
      <c r="E52" s="6">
        <v>120</v>
      </c>
      <c r="F52" s="6" t="s">
        <v>12</v>
      </c>
      <c r="H52" s="7">
        <v>12.94</v>
      </c>
      <c r="I52" s="6" t="s">
        <v>85</v>
      </c>
      <c r="K52" s="7">
        <v>1.55</v>
      </c>
      <c r="L52" s="6" t="s">
        <v>86</v>
      </c>
      <c r="N52" s="7">
        <f t="shared" si="0"/>
        <v>0.77639999999999998</v>
      </c>
      <c r="O52" s="6" t="s">
        <v>86</v>
      </c>
      <c r="Q52" s="18"/>
      <c r="W52" s="7">
        <f t="shared" si="6"/>
        <v>0.38819999999999999</v>
      </c>
      <c r="X52" s="6" t="s">
        <v>86</v>
      </c>
      <c r="Z52" s="7">
        <f t="shared" si="2"/>
        <v>0.19409999999999999</v>
      </c>
      <c r="AA52" s="6" t="s">
        <v>86</v>
      </c>
    </row>
    <row r="53" spans="1:27" s="6" customFormat="1" ht="15.75" x14ac:dyDescent="0.25">
      <c r="A53" s="6" t="s">
        <v>157</v>
      </c>
      <c r="C53" s="6" t="s">
        <v>4</v>
      </c>
      <c r="E53" s="6">
        <v>120</v>
      </c>
      <c r="F53" s="6" t="s">
        <v>12</v>
      </c>
      <c r="H53" s="7">
        <v>30.93</v>
      </c>
      <c r="I53" s="6" t="s">
        <v>85</v>
      </c>
      <c r="K53" s="7">
        <v>3.71</v>
      </c>
      <c r="L53" s="6" t="s">
        <v>86</v>
      </c>
      <c r="N53" s="7">
        <f t="shared" si="0"/>
        <v>1.8557999999999999</v>
      </c>
      <c r="O53" s="6" t="s">
        <v>86</v>
      </c>
      <c r="Q53" s="18"/>
      <c r="W53" s="7">
        <f t="shared" si="6"/>
        <v>0.92789999999999995</v>
      </c>
      <c r="X53" s="6" t="s">
        <v>86</v>
      </c>
      <c r="Z53" s="7">
        <f t="shared" si="2"/>
        <v>0.46394999999999997</v>
      </c>
      <c r="AA53" s="6" t="s">
        <v>86</v>
      </c>
    </row>
    <row r="54" spans="1:27" s="6" customFormat="1" ht="15.75" x14ac:dyDescent="0.25">
      <c r="A54" s="6" t="s">
        <v>158</v>
      </c>
      <c r="C54" s="6" t="s">
        <v>5</v>
      </c>
      <c r="E54" s="6">
        <v>120</v>
      </c>
      <c r="F54" s="6" t="s">
        <v>12</v>
      </c>
      <c r="H54" s="7">
        <v>7.83</v>
      </c>
      <c r="I54" s="6" t="s">
        <v>85</v>
      </c>
      <c r="K54" s="7">
        <v>0.94</v>
      </c>
      <c r="L54" s="6" t="s">
        <v>86</v>
      </c>
      <c r="N54" s="7">
        <f t="shared" si="0"/>
        <v>0.4698</v>
      </c>
      <c r="O54" s="6" t="s">
        <v>86</v>
      </c>
      <c r="Q54" s="18"/>
      <c r="W54" s="7">
        <f t="shared" si="6"/>
        <v>0.2349</v>
      </c>
      <c r="X54" s="6" t="s">
        <v>86</v>
      </c>
      <c r="Z54" s="7">
        <f t="shared" si="2"/>
        <v>0.11745</v>
      </c>
      <c r="AA54" s="6" t="s">
        <v>86</v>
      </c>
    </row>
    <row r="55" spans="1:27" s="6" customFormat="1" ht="15.75" x14ac:dyDescent="0.25">
      <c r="A55" s="6" t="s">
        <v>159</v>
      </c>
      <c r="C55" s="6" t="s">
        <v>5</v>
      </c>
      <c r="E55" s="6">
        <v>120</v>
      </c>
      <c r="F55" s="6" t="s">
        <v>12</v>
      </c>
      <c r="H55" s="7">
        <v>12.15</v>
      </c>
      <c r="I55" s="6" t="s">
        <v>85</v>
      </c>
      <c r="K55" s="7">
        <v>1.46</v>
      </c>
      <c r="L55" s="6" t="s">
        <v>86</v>
      </c>
      <c r="N55" s="7">
        <f t="shared" si="0"/>
        <v>0.72899999999999998</v>
      </c>
      <c r="O55" s="6" t="s">
        <v>86</v>
      </c>
      <c r="Q55" s="18"/>
      <c r="W55" s="7">
        <f t="shared" si="6"/>
        <v>0.36449999999999999</v>
      </c>
      <c r="X55" s="6" t="s">
        <v>86</v>
      </c>
      <c r="Z55" s="7">
        <f t="shared" si="2"/>
        <v>0.18225</v>
      </c>
      <c r="AA55" s="6" t="s">
        <v>86</v>
      </c>
    </row>
    <row r="56" spans="1:27" s="6" customFormat="1" ht="15.75" x14ac:dyDescent="0.25">
      <c r="A56" s="6" t="s">
        <v>160</v>
      </c>
      <c r="C56" s="6" t="s">
        <v>5</v>
      </c>
      <c r="E56" s="6">
        <v>120</v>
      </c>
      <c r="F56" s="6" t="s">
        <v>12</v>
      </c>
      <c r="H56" s="7">
        <v>6.78</v>
      </c>
      <c r="I56" s="6" t="s">
        <v>85</v>
      </c>
      <c r="K56" s="7">
        <v>0.81</v>
      </c>
      <c r="L56" s="6" t="s">
        <v>86</v>
      </c>
      <c r="N56" s="7">
        <f t="shared" si="0"/>
        <v>0.40679999999999999</v>
      </c>
      <c r="O56" s="6" t="s">
        <v>86</v>
      </c>
      <c r="Q56" s="18"/>
      <c r="W56" s="7">
        <f t="shared" si="6"/>
        <v>0.2034</v>
      </c>
      <c r="X56" s="6" t="s">
        <v>86</v>
      </c>
      <c r="Z56" s="7">
        <f t="shared" si="2"/>
        <v>0.1017</v>
      </c>
      <c r="AA56" s="6" t="s">
        <v>86</v>
      </c>
    </row>
    <row r="57" spans="1:27" s="6" customFormat="1" ht="15.75" x14ac:dyDescent="0.25">
      <c r="A57" s="6" t="s">
        <v>161</v>
      </c>
      <c r="C57" s="6" t="s">
        <v>5</v>
      </c>
      <c r="E57" s="6">
        <v>120</v>
      </c>
      <c r="F57" s="6" t="s">
        <v>12</v>
      </c>
      <c r="H57" s="7">
        <v>2.13</v>
      </c>
      <c r="I57" s="6" t="s">
        <v>85</v>
      </c>
      <c r="K57" s="7">
        <v>0.26</v>
      </c>
      <c r="L57" s="6" t="s">
        <v>86</v>
      </c>
      <c r="N57" s="7">
        <f t="shared" si="0"/>
        <v>0.1278</v>
      </c>
      <c r="O57" s="6" t="s">
        <v>86</v>
      </c>
      <c r="Q57" s="18"/>
      <c r="W57" s="7">
        <f t="shared" si="6"/>
        <v>6.3899999999999998E-2</v>
      </c>
      <c r="X57" s="6" t="s">
        <v>86</v>
      </c>
      <c r="Z57" s="7">
        <f t="shared" si="2"/>
        <v>3.1949999999999999E-2</v>
      </c>
      <c r="AA57" s="6" t="s">
        <v>86</v>
      </c>
    </row>
    <row r="58" spans="1:27" s="6" customFormat="1" ht="15.75" x14ac:dyDescent="0.25">
      <c r="A58" s="6" t="s">
        <v>162</v>
      </c>
      <c r="C58" s="6" t="s">
        <v>5</v>
      </c>
      <c r="E58" s="6">
        <v>120</v>
      </c>
      <c r="F58" s="6" t="s">
        <v>12</v>
      </c>
      <c r="H58" s="7">
        <v>15.04</v>
      </c>
      <c r="I58" s="6" t="s">
        <v>85</v>
      </c>
      <c r="K58" s="7">
        <v>1.8</v>
      </c>
      <c r="L58" s="6" t="s">
        <v>86</v>
      </c>
      <c r="N58" s="7">
        <f t="shared" si="0"/>
        <v>0.90239999999999987</v>
      </c>
      <c r="O58" s="6" t="s">
        <v>86</v>
      </c>
      <c r="Q58" s="18"/>
      <c r="W58" s="7">
        <f t="shared" si="6"/>
        <v>0.45119999999999993</v>
      </c>
      <c r="X58" s="6" t="s">
        <v>86</v>
      </c>
      <c r="Z58" s="7">
        <f t="shared" si="2"/>
        <v>0.22559999999999997</v>
      </c>
      <c r="AA58" s="6" t="s">
        <v>86</v>
      </c>
    </row>
    <row r="59" spans="1:27" s="6" customFormat="1" ht="15.75" x14ac:dyDescent="0.25">
      <c r="A59" s="6" t="s">
        <v>163</v>
      </c>
      <c r="C59" s="6" t="s">
        <v>5</v>
      </c>
      <c r="E59" s="6">
        <v>120</v>
      </c>
      <c r="F59" s="6" t="s">
        <v>12</v>
      </c>
      <c r="H59" s="7">
        <v>15.2</v>
      </c>
      <c r="I59" s="6" t="s">
        <v>85</v>
      </c>
      <c r="K59" s="7">
        <v>1.82</v>
      </c>
      <c r="L59" s="6" t="s">
        <v>86</v>
      </c>
      <c r="N59" s="7">
        <f t="shared" si="0"/>
        <v>0.91199999999999992</v>
      </c>
      <c r="O59" s="6" t="s">
        <v>86</v>
      </c>
      <c r="Q59" s="18"/>
      <c r="W59" s="7">
        <f t="shared" si="6"/>
        <v>0.45599999999999996</v>
      </c>
      <c r="X59" s="6" t="s">
        <v>86</v>
      </c>
      <c r="Z59" s="7">
        <f t="shared" si="2"/>
        <v>0.22799999999999998</v>
      </c>
      <c r="AA59" s="6" t="s">
        <v>86</v>
      </c>
    </row>
    <row r="60" spans="1:27" s="6" customFormat="1" ht="15.75" x14ac:dyDescent="0.25">
      <c r="A60" s="6" t="s">
        <v>164</v>
      </c>
      <c r="C60" s="6" t="s">
        <v>48</v>
      </c>
      <c r="E60" s="6">
        <v>120</v>
      </c>
      <c r="F60" s="6" t="s">
        <v>12</v>
      </c>
      <c r="H60" s="7">
        <v>3.98</v>
      </c>
      <c r="I60" s="6" t="s">
        <v>85</v>
      </c>
      <c r="K60" s="7">
        <v>0.48</v>
      </c>
      <c r="L60" s="6" t="s">
        <v>86</v>
      </c>
      <c r="N60" s="7">
        <f t="shared" si="0"/>
        <v>0.23879999999999998</v>
      </c>
      <c r="O60" s="6" t="s">
        <v>86</v>
      </c>
      <c r="Q60" s="18"/>
      <c r="W60" s="7">
        <f t="shared" si="6"/>
        <v>0.11939999999999999</v>
      </c>
      <c r="X60" s="6" t="s">
        <v>86</v>
      </c>
      <c r="Z60" s="7">
        <f t="shared" si="2"/>
        <v>5.9699999999999996E-2</v>
      </c>
      <c r="AA60" s="6" t="s">
        <v>86</v>
      </c>
    </row>
    <row r="61" spans="1:27" s="6" customFormat="1" ht="15.75" x14ac:dyDescent="0.25">
      <c r="A61" s="6" t="s">
        <v>165</v>
      </c>
      <c r="C61" s="6" t="s">
        <v>48</v>
      </c>
      <c r="E61" s="6">
        <v>120</v>
      </c>
      <c r="F61" s="6" t="s">
        <v>12</v>
      </c>
      <c r="H61" s="7">
        <v>8.92</v>
      </c>
      <c r="I61" s="6" t="s">
        <v>85</v>
      </c>
      <c r="K61" s="7">
        <v>1.07</v>
      </c>
      <c r="L61" s="6" t="s">
        <v>86</v>
      </c>
      <c r="N61" s="7">
        <f t="shared" si="0"/>
        <v>0.53520000000000001</v>
      </c>
      <c r="O61" s="6" t="s">
        <v>86</v>
      </c>
      <c r="Q61" s="18"/>
      <c r="W61" s="7">
        <f t="shared" si="6"/>
        <v>0.2676</v>
      </c>
      <c r="X61" s="6" t="s">
        <v>86</v>
      </c>
      <c r="Z61" s="7">
        <f t="shared" si="2"/>
        <v>0.1338</v>
      </c>
      <c r="AA61" s="6" t="s">
        <v>86</v>
      </c>
    </row>
    <row r="62" spans="1:27" s="6" customFormat="1" ht="15.75" x14ac:dyDescent="0.25">
      <c r="A62" s="6" t="s">
        <v>166</v>
      </c>
      <c r="C62" s="6" t="s">
        <v>48</v>
      </c>
      <c r="E62" s="6">
        <v>120</v>
      </c>
      <c r="F62" s="6" t="s">
        <v>12</v>
      </c>
      <c r="H62" s="7">
        <v>23.02</v>
      </c>
      <c r="I62" s="6" t="s">
        <v>85</v>
      </c>
      <c r="K62" s="7">
        <v>2.76</v>
      </c>
      <c r="L62" s="6" t="s">
        <v>86</v>
      </c>
      <c r="N62" s="7">
        <f t="shared" si="0"/>
        <v>1.3812</v>
      </c>
      <c r="O62" s="6" t="s">
        <v>86</v>
      </c>
      <c r="Q62" s="18"/>
      <c r="W62" s="7">
        <f t="shared" si="6"/>
        <v>0.69059999999999999</v>
      </c>
      <c r="X62" s="6" t="s">
        <v>86</v>
      </c>
      <c r="Z62" s="7">
        <f t="shared" si="2"/>
        <v>0.3453</v>
      </c>
      <c r="AA62" s="6" t="s">
        <v>86</v>
      </c>
    </row>
    <row r="63" spans="1:27" s="6" customFormat="1" ht="15.75" x14ac:dyDescent="0.25">
      <c r="A63" s="6" t="s">
        <v>167</v>
      </c>
      <c r="C63" s="6" t="s">
        <v>48</v>
      </c>
      <c r="E63" s="6">
        <v>120</v>
      </c>
      <c r="F63" s="6" t="s">
        <v>12</v>
      </c>
      <c r="H63" s="7">
        <v>5.77</v>
      </c>
      <c r="I63" s="6" t="s">
        <v>85</v>
      </c>
      <c r="K63" s="7">
        <v>0.69</v>
      </c>
      <c r="L63" s="6" t="s">
        <v>86</v>
      </c>
      <c r="N63" s="7">
        <f>H63*0.06</f>
        <v>0.34619999999999995</v>
      </c>
      <c r="O63" s="6" t="s">
        <v>86</v>
      </c>
      <c r="Q63" s="18"/>
      <c r="W63" s="7">
        <f t="shared" si="6"/>
        <v>0.17309999999999998</v>
      </c>
      <c r="X63" s="6" t="s">
        <v>86</v>
      </c>
      <c r="Z63" s="7">
        <f t="shared" si="2"/>
        <v>8.6549999999999988E-2</v>
      </c>
      <c r="AA63" s="6" t="s">
        <v>86</v>
      </c>
    </row>
    <row r="64" spans="1:27" s="6" customFormat="1" ht="15.75" x14ac:dyDescent="0.25">
      <c r="A64" s="6" t="s">
        <v>168</v>
      </c>
      <c r="C64" s="6" t="s">
        <v>48</v>
      </c>
      <c r="E64" s="6">
        <v>120</v>
      </c>
      <c r="F64" s="6" t="s">
        <v>12</v>
      </c>
      <c r="H64" s="7">
        <v>6.18</v>
      </c>
      <c r="I64" s="6" t="s">
        <v>85</v>
      </c>
      <c r="K64" s="7">
        <v>0.74</v>
      </c>
      <c r="L64" s="6" t="s">
        <v>86</v>
      </c>
      <c r="N64" s="7">
        <f t="shared" si="0"/>
        <v>0.37079999999999996</v>
      </c>
      <c r="O64" s="6" t="s">
        <v>86</v>
      </c>
      <c r="Q64" s="18"/>
      <c r="W64" s="7">
        <f t="shared" si="6"/>
        <v>0.18539999999999998</v>
      </c>
      <c r="X64" s="6" t="s">
        <v>86</v>
      </c>
      <c r="Z64" s="7">
        <f t="shared" si="2"/>
        <v>9.2699999999999991E-2</v>
      </c>
      <c r="AA64" s="6" t="s">
        <v>86</v>
      </c>
    </row>
    <row r="65" spans="8:29" s="9" customFormat="1" x14ac:dyDescent="0.2">
      <c r="H65" s="8"/>
      <c r="K65" s="8"/>
      <c r="N65" s="8">
        <f>SUM(N4:N64)</f>
        <v>43.545600000000015</v>
      </c>
      <c r="O65" s="9" t="s">
        <v>87</v>
      </c>
      <c r="Q65" s="20">
        <f>SUM(Q4:Q64)</f>
        <v>25.466399999999993</v>
      </c>
      <c r="R65" s="9" t="s">
        <v>87</v>
      </c>
      <c r="T65" s="9">
        <f>T22</f>
        <v>3.0340000000000003</v>
      </c>
      <c r="U65" s="9" t="s">
        <v>87</v>
      </c>
      <c r="W65" s="8">
        <f>SUM(W4:W64)</f>
        <v>17.528400000000005</v>
      </c>
      <c r="X65" s="9" t="s">
        <v>87</v>
      </c>
      <c r="Z65" s="23">
        <f>SUM(Z4:Z64)</f>
        <v>9.2193000000000005</v>
      </c>
      <c r="AA65" s="24" t="s">
        <v>175</v>
      </c>
    </row>
    <row r="66" spans="8:29" s="6" customFormat="1" ht="13.5" x14ac:dyDescent="0.25">
      <c r="H66" s="7"/>
      <c r="K66" s="7"/>
      <c r="N66" s="7"/>
      <c r="O66" s="18"/>
      <c r="Q66" s="18"/>
      <c r="W66" s="7"/>
      <c r="Z66" s="7"/>
    </row>
    <row r="67" spans="8:29" ht="15.75" x14ac:dyDescent="0.25">
      <c r="N67" s="3"/>
      <c r="O67" s="1"/>
      <c r="P67" s="1"/>
      <c r="Q67" s="3">
        <f>SUM(K46:K48,K25:K27,H4:H8)</f>
        <v>80.52</v>
      </c>
      <c r="R67" s="6" t="s">
        <v>85</v>
      </c>
      <c r="S67" s="1"/>
      <c r="T67" s="3">
        <f>H22</f>
        <v>30.34</v>
      </c>
      <c r="U67" s="6" t="s">
        <v>85</v>
      </c>
      <c r="V67" s="1"/>
      <c r="W67" s="3">
        <f>SUM(H49:H64,H28:H44,H9:H23)</f>
        <v>614.61999999999989</v>
      </c>
      <c r="X67" s="6" t="s">
        <v>85</v>
      </c>
      <c r="Y67" s="1"/>
      <c r="Z67" s="3">
        <f>SUM(H49:H64,H28:H44,H10:H23)</f>
        <v>607.05999999999995</v>
      </c>
      <c r="AA67" s="6" t="s">
        <v>85</v>
      </c>
      <c r="AB67" s="1"/>
      <c r="AC67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opLeftCell="B1" workbookViewId="0">
      <pane ySplit="3" topLeftCell="A19" activePane="bottomLeft" state="frozen"/>
      <selection pane="bottomLeft" activeCell="I3" sqref="I3:I15"/>
    </sheetView>
  </sheetViews>
  <sheetFormatPr defaultRowHeight="13.5" x14ac:dyDescent="0.25"/>
  <cols>
    <col min="1" max="1" width="16.28515625" style="6" bestFit="1" customWidth="1"/>
    <col min="2" max="2" width="3.7109375" style="6" customWidth="1"/>
    <col min="3" max="3" width="11" style="7" bestFit="1" customWidth="1"/>
    <col min="4" max="4" width="3.5703125" style="7" bestFit="1" customWidth="1"/>
    <col min="5" max="5" width="3.7109375" style="7" customWidth="1"/>
    <col min="6" max="6" width="9.140625" style="7"/>
    <col min="7" max="7" width="3.5703125" style="7" bestFit="1" customWidth="1"/>
    <col min="8" max="8" width="3.7109375" style="7" customWidth="1"/>
    <col min="9" max="9" width="15.85546875" style="7" bestFit="1" customWidth="1"/>
    <col min="10" max="10" width="3.5703125" style="7" bestFit="1" customWidth="1"/>
    <col min="11" max="11" width="3.7109375" style="7" customWidth="1"/>
    <col min="12" max="12" width="10.42578125" style="7" bestFit="1" customWidth="1"/>
    <col min="13" max="13" width="3.5703125" style="7" bestFit="1" customWidth="1"/>
    <col min="14" max="14" width="3.7109375" style="7" customWidth="1"/>
    <col min="15" max="15" width="10.42578125" style="7" bestFit="1" customWidth="1"/>
    <col min="16" max="16" width="3.5703125" style="7" bestFit="1" customWidth="1"/>
    <col min="17" max="17" width="3.7109375" style="7" customWidth="1"/>
    <col min="18" max="18" width="10.42578125" style="7" bestFit="1" customWidth="1"/>
    <col min="19" max="19" width="3.5703125" style="7" bestFit="1" customWidth="1"/>
    <col min="20" max="20" width="3.7109375" style="7" customWidth="1"/>
    <col min="21" max="21" width="10.42578125" style="7" bestFit="1" customWidth="1"/>
    <col min="22" max="22" width="3.5703125" style="7" bestFit="1" customWidth="1"/>
    <col min="23" max="23" width="3.7109375" style="7" customWidth="1"/>
    <col min="24" max="24" width="10.42578125" style="7" bestFit="1" customWidth="1"/>
    <col min="25" max="25" width="3.5703125" style="7" bestFit="1" customWidth="1"/>
    <col min="26" max="26" width="3.7109375" style="7" customWidth="1"/>
    <col min="27" max="27" width="14.5703125" style="7" bestFit="1" customWidth="1"/>
    <col min="28" max="28" width="3.5703125" style="7" bestFit="1" customWidth="1"/>
    <col min="29" max="29" width="3.7109375" style="7" customWidth="1"/>
    <col min="30" max="30" width="14.5703125" style="7" bestFit="1" customWidth="1"/>
    <col min="31" max="31" width="3.5703125" style="6" bestFit="1" customWidth="1"/>
    <col min="32" max="32" width="3.7109375" style="6" customWidth="1"/>
    <col min="33" max="33" width="14.5703125" style="6" bestFit="1" customWidth="1"/>
    <col min="34" max="34" width="3.5703125" style="6" bestFit="1" customWidth="1"/>
    <col min="35" max="35" width="3.7109375" style="6" customWidth="1"/>
    <col min="36" max="36" width="14.5703125" style="6" bestFit="1" customWidth="1"/>
    <col min="37" max="37" width="3.5703125" style="6" bestFit="1" customWidth="1"/>
    <col min="38" max="16384" width="9.140625" style="6"/>
  </cols>
  <sheetData>
    <row r="1" spans="1:36" ht="15" x14ac:dyDescent="0.25">
      <c r="A1" s="25" t="s">
        <v>176</v>
      </c>
      <c r="B1" s="31"/>
      <c r="C1" s="31"/>
    </row>
    <row r="3" spans="1:36" ht="27" x14ac:dyDescent="0.25">
      <c r="A3" s="6" t="s">
        <v>179</v>
      </c>
      <c r="C3" s="7" t="s">
        <v>178</v>
      </c>
      <c r="F3" s="7" t="s">
        <v>181</v>
      </c>
      <c r="I3" s="21" t="s">
        <v>182</v>
      </c>
      <c r="L3" s="21" t="s">
        <v>185</v>
      </c>
      <c r="O3" s="21" t="s">
        <v>187</v>
      </c>
      <c r="R3" s="21" t="s">
        <v>188</v>
      </c>
      <c r="U3" s="21" t="s">
        <v>189</v>
      </c>
      <c r="X3" s="21" t="s">
        <v>191</v>
      </c>
      <c r="AA3" s="21" t="s">
        <v>194</v>
      </c>
      <c r="AD3" s="21" t="s">
        <v>342</v>
      </c>
      <c r="AG3" s="21" t="s">
        <v>345</v>
      </c>
      <c r="AJ3" s="21" t="s">
        <v>382</v>
      </c>
    </row>
    <row r="4" spans="1:36" ht="15.75" x14ac:dyDescent="0.25">
      <c r="A4" s="6" t="s">
        <v>177</v>
      </c>
      <c r="C4" s="7">
        <v>112.42</v>
      </c>
      <c r="D4" s="7" t="s">
        <v>85</v>
      </c>
      <c r="AA4" s="7">
        <f>C4*0.9</f>
        <v>101.178</v>
      </c>
      <c r="AB4" s="7" t="s">
        <v>85</v>
      </c>
    </row>
    <row r="5" spans="1:36" ht="15.75" x14ac:dyDescent="0.25">
      <c r="C5" s="7">
        <f>C4*0.16</f>
        <v>17.987200000000001</v>
      </c>
      <c r="D5" s="7" t="s">
        <v>86</v>
      </c>
      <c r="AA5" s="7">
        <f>AA4*0.08</f>
        <v>8.0942399999999992</v>
      </c>
      <c r="AB5" s="7" t="s">
        <v>86</v>
      </c>
    </row>
    <row r="7" spans="1:36" ht="15.75" x14ac:dyDescent="0.25">
      <c r="A7" s="6" t="s">
        <v>180</v>
      </c>
      <c r="F7" s="7">
        <f>187.31+4.752</f>
        <v>192.06200000000001</v>
      </c>
      <c r="G7" s="7" t="s">
        <v>85</v>
      </c>
      <c r="AA7" s="7">
        <f>F7*0.9</f>
        <v>172.85580000000002</v>
      </c>
      <c r="AB7" s="7" t="s">
        <v>85</v>
      </c>
    </row>
    <row r="8" spans="1:36" ht="15.75" x14ac:dyDescent="0.25">
      <c r="F8" s="7">
        <f>F7*0.18</f>
        <v>34.571159999999999</v>
      </c>
      <c r="G8" s="7" t="s">
        <v>86</v>
      </c>
      <c r="AA8" s="7">
        <f>AA7*0.08</f>
        <v>13.828464000000002</v>
      </c>
      <c r="AB8" s="7" t="s">
        <v>86</v>
      </c>
    </row>
    <row r="10" spans="1:36" ht="15.75" x14ac:dyDescent="0.25">
      <c r="A10" s="6" t="s">
        <v>183</v>
      </c>
      <c r="I10" s="7">
        <f>57.73</f>
        <v>57.73</v>
      </c>
      <c r="J10" s="7" t="s">
        <v>85</v>
      </c>
    </row>
    <row r="11" spans="1:36" ht="15.75" x14ac:dyDescent="0.25">
      <c r="I11" s="7">
        <f>I10*0.2</f>
        <v>11.545999999999999</v>
      </c>
      <c r="J11" s="7" t="s">
        <v>86</v>
      </c>
    </row>
    <row r="13" spans="1:36" ht="15.75" x14ac:dyDescent="0.25">
      <c r="A13" s="6" t="s">
        <v>184</v>
      </c>
      <c r="I13" s="7">
        <f>45.55</f>
        <v>45.55</v>
      </c>
      <c r="J13" s="7" t="s">
        <v>85</v>
      </c>
    </row>
    <row r="14" spans="1:36" ht="15.75" x14ac:dyDescent="0.25">
      <c r="I14" s="7">
        <f>I13*0.2</f>
        <v>9.11</v>
      </c>
      <c r="J14" s="7" t="s">
        <v>86</v>
      </c>
    </row>
    <row r="16" spans="1:36" ht="15.75" x14ac:dyDescent="0.25">
      <c r="A16" s="6" t="s">
        <v>186</v>
      </c>
      <c r="L16" s="7">
        <f>3.435*4.99+4.4*11.041+3.855*15.98+3.255*9.664-(0.3*(3.946*2+3.7+1.2+4.9))</f>
        <v>153.47266999999999</v>
      </c>
      <c r="M16" s="7" t="s">
        <v>85</v>
      </c>
    </row>
    <row r="17" spans="1:28" ht="15.75" x14ac:dyDescent="0.25">
      <c r="L17" s="7">
        <f>L16*0.19</f>
        <v>29.159807300000001</v>
      </c>
      <c r="M17" s="7" t="s">
        <v>86</v>
      </c>
    </row>
    <row r="19" spans="1:28" ht="15.75" x14ac:dyDescent="0.25">
      <c r="A19" s="6" t="s">
        <v>192</v>
      </c>
      <c r="O19" s="7">
        <f>(1.6*43.86)-(0.3*(1.1+1.1+1.1+1.1))</f>
        <v>68.856000000000009</v>
      </c>
      <c r="P19" s="7" t="s">
        <v>85</v>
      </c>
      <c r="R19" s="7">
        <f>(2.1*43.86)-(1.1*2*4+0.4*0.55*3)</f>
        <v>82.646000000000015</v>
      </c>
      <c r="S19" s="7" t="s">
        <v>85</v>
      </c>
    </row>
    <row r="20" spans="1:28" ht="15.75" x14ac:dyDescent="0.25">
      <c r="O20" s="7">
        <f>O19*0.2</f>
        <v>13.771200000000002</v>
      </c>
      <c r="P20" s="7" t="s">
        <v>86</v>
      </c>
      <c r="R20" s="7">
        <f>R19*0.2</f>
        <v>16.529200000000003</v>
      </c>
      <c r="S20" s="7" t="s">
        <v>86</v>
      </c>
    </row>
    <row r="22" spans="1:28" ht="15.75" x14ac:dyDescent="0.25">
      <c r="U22" s="7">
        <f>(126.67-(4.075*0.45+1.7*0.85+2.3*1.15+2.3*0.55+0.8*0.85+2.3*1.15+1.7*0.85*2+2.3*0.55))+(97.36-(3.6*2.05+1.1*2.05+4.8*2.05+5.05*1.2+1.7*1.75+2.3*1.15))+86</f>
        <v>264.20625000000001</v>
      </c>
      <c r="V22" s="7" t="s">
        <v>85</v>
      </c>
    </row>
    <row r="23" spans="1:28" ht="15.75" x14ac:dyDescent="0.25">
      <c r="U23" s="7">
        <f>U22*0.24</f>
        <v>63.409500000000001</v>
      </c>
      <c r="V23" s="7" t="s">
        <v>86</v>
      </c>
    </row>
    <row r="25" spans="1:28" ht="15.75" x14ac:dyDescent="0.25">
      <c r="A25" s="6" t="s">
        <v>193</v>
      </c>
      <c r="U25" s="7">
        <f>(76.51-(0.8*0.85+1.05*1.15))+(96.49-(1.15*2.95+1.7*1.75+3.2*1.15+1.7*1.75))+(62.18-(3.846*2.1*2+1.7*1.75+1.1*1.15+0.5*0.55+0.8*0.85))</f>
        <v>198.92180000000002</v>
      </c>
      <c r="V25" s="7" t="s">
        <v>85</v>
      </c>
    </row>
    <row r="26" spans="1:28" ht="15.75" x14ac:dyDescent="0.25">
      <c r="U26" s="7">
        <f>U25*0.24</f>
        <v>47.741232000000004</v>
      </c>
      <c r="V26" s="7" t="s">
        <v>86</v>
      </c>
    </row>
    <row r="28" spans="1:28" ht="15.75" x14ac:dyDescent="0.25">
      <c r="A28" s="6" t="s">
        <v>190</v>
      </c>
      <c r="X28" s="7">
        <f>(5.05*1.2-(2*2.3*1.15))+(4.075*0.45-(2*1.7*0.4))</f>
        <v>1.2437500000000006</v>
      </c>
      <c r="Y28" s="7" t="s">
        <v>85</v>
      </c>
    </row>
    <row r="29" spans="1:28" ht="15.75" x14ac:dyDescent="0.25">
      <c r="X29" s="7">
        <f>X28*0.19</f>
        <v>0.23631250000000012</v>
      </c>
      <c r="Y29" s="7" t="s">
        <v>86</v>
      </c>
    </row>
    <row r="31" spans="1:28" ht="15.75" x14ac:dyDescent="0.25">
      <c r="A31" s="6" t="s">
        <v>195</v>
      </c>
      <c r="AA31" s="7">
        <f>(9.21+7.73+7.08+17.35+2.34)+(6.09+9.49+16.65)+(5.51+8.57+16.39)</f>
        <v>106.41</v>
      </c>
      <c r="AB31" s="7" t="s">
        <v>85</v>
      </c>
    </row>
    <row r="32" spans="1:28" ht="15.75" x14ac:dyDescent="0.25">
      <c r="AA32" s="7">
        <f>AA31*0.08</f>
        <v>8.5128000000000004</v>
      </c>
      <c r="AB32" s="7" t="s">
        <v>86</v>
      </c>
    </row>
    <row r="35" spans="1:37" ht="15.75" x14ac:dyDescent="0.25">
      <c r="A35" s="6" t="s">
        <v>341</v>
      </c>
      <c r="AD35" s="7">
        <f>(21.95-(0.9*2.25))</f>
        <v>19.925000000000001</v>
      </c>
      <c r="AE35" s="7" t="s">
        <v>85</v>
      </c>
    </row>
    <row r="36" spans="1:37" ht="15.75" x14ac:dyDescent="0.25">
      <c r="AD36" s="7">
        <f>AD35*0.12</f>
        <v>2.391</v>
      </c>
      <c r="AE36" s="7" t="s">
        <v>86</v>
      </c>
    </row>
    <row r="38" spans="1:37" ht="15.75" x14ac:dyDescent="0.25">
      <c r="A38" s="6" t="s">
        <v>343</v>
      </c>
      <c r="AD38" s="7">
        <f>(1.2*(5.711+2.05+3.621))</f>
        <v>13.658399999999999</v>
      </c>
      <c r="AE38" s="7" t="s">
        <v>85</v>
      </c>
      <c r="AG38" s="7">
        <f>(1.2*(5.711+2.05+3.621))</f>
        <v>13.658399999999999</v>
      </c>
      <c r="AH38" s="7" t="s">
        <v>85</v>
      </c>
    </row>
    <row r="39" spans="1:37" ht="15.75" x14ac:dyDescent="0.25">
      <c r="AD39" s="7">
        <f>AD38*0.12</f>
        <v>1.6390079999999998</v>
      </c>
      <c r="AE39" s="7" t="s">
        <v>86</v>
      </c>
      <c r="AG39" s="7">
        <f>AG38*0.06</f>
        <v>0.8195039999999999</v>
      </c>
      <c r="AH39" s="7" t="s">
        <v>86</v>
      </c>
    </row>
    <row r="41" spans="1:37" ht="15.75" x14ac:dyDescent="0.25">
      <c r="A41" s="6" t="s">
        <v>344</v>
      </c>
      <c r="AD41" s="7">
        <f>(1.36*2.3)</f>
        <v>3.1280000000000001</v>
      </c>
      <c r="AE41" s="7" t="s">
        <v>85</v>
      </c>
    </row>
    <row r="42" spans="1:37" ht="15.75" x14ac:dyDescent="0.25">
      <c r="AD42" s="7">
        <f>AD41*0.12</f>
        <v>0.37536000000000003</v>
      </c>
      <c r="AE42" s="7" t="s">
        <v>86</v>
      </c>
    </row>
    <row r="44" spans="1:37" ht="15.75" x14ac:dyDescent="0.25">
      <c r="A44" s="6" t="s">
        <v>346</v>
      </c>
      <c r="AJ44" s="6">
        <f>(0.6*(2.05+2.05+2.955+4.54+4.55+2.51)+1.2*(3.208+3.102))</f>
        <v>18.765000000000001</v>
      </c>
      <c r="AK44" s="7" t="s">
        <v>85</v>
      </c>
    </row>
    <row r="45" spans="1:37" ht="15.75" x14ac:dyDescent="0.25">
      <c r="AJ45" s="6">
        <f>AJ44*0.1</f>
        <v>1.8765000000000001</v>
      </c>
      <c r="AK45" s="7" t="s">
        <v>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KRYCÍ LIST</vt:lpstr>
      <vt:lpstr>ZEMINA</vt:lpstr>
      <vt:lpstr>VODOSTAVEBNÝ BETON, ZÁKLADY</vt:lpstr>
      <vt:lpstr>ŽB - ZDI OBVODOVÉ</vt:lpstr>
      <vt:lpstr>ŽB - ZDI VNITŘNÍ</vt:lpstr>
      <vt:lpstr>ŽB STROPY</vt:lpstr>
      <vt:lpstr>PŘÍČKY NENOSNÉ</vt:lpstr>
      <vt:lpstr>PODLAHY</vt:lpstr>
      <vt:lpstr>TEPELNÉ IZOLACE</vt:lpstr>
      <vt:lpstr>POVRCHY INT</vt:lpstr>
      <vt:lpstr>POVRCHY EXT.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Greech</dc:creator>
  <cp:lastModifiedBy>Lenka1</cp:lastModifiedBy>
  <dcterms:created xsi:type="dcterms:W3CDTF">2015-12-23T16:47:45Z</dcterms:created>
  <dcterms:modified xsi:type="dcterms:W3CDTF">2016-02-08T16:58:03Z</dcterms:modified>
</cp:coreProperties>
</file>